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rti\source\repos\IndieheadsTopTenTuesdaySpotify\IndieheadsTopTenTuesdaySpotifyBot.UI\wwwroot\"/>
    </mc:Choice>
  </mc:AlternateContent>
  <xr:revisionPtr revIDLastSave="0" documentId="13_ncr:1_{4A53A08E-9454-45AB-B0F7-63B2A8402940}" xr6:coauthVersionLast="47" xr6:coauthVersionMax="47" xr10:uidLastSave="{00000000-0000-0000-0000-000000000000}"/>
  <bookViews>
    <workbookView xWindow="3720" yWindow="3720" windowWidth="21600" windowHeight="11295" xr2:uid="{00000000-000D-0000-FFFF-FFFF00000000}"/>
  </bookViews>
  <sheets>
    <sheet name="A - B" sheetId="1" r:id="rId1"/>
    <sheet name="C - F" sheetId="2" r:id="rId2"/>
    <sheet name="G - L" sheetId="3" r:id="rId3"/>
    <sheet name="M - O" sheetId="4" r:id="rId4"/>
    <sheet name="P - S" sheetId="5" r:id="rId5"/>
    <sheet name="T - 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6" l="1"/>
  <c r="A383" i="4"/>
  <c r="C366" i="3"/>
  <c r="A936" i="5"/>
  <c r="C458" i="1"/>
  <c r="C450" i="1"/>
  <c r="C457" i="1"/>
  <c r="C456" i="1"/>
  <c r="C455" i="1"/>
  <c r="C201" i="4"/>
  <c r="C637" i="6"/>
  <c r="A637" i="6"/>
  <c r="C636" i="6"/>
  <c r="A636" i="6"/>
  <c r="C635" i="6"/>
  <c r="A635" i="6"/>
  <c r="C634" i="6"/>
  <c r="A634" i="6"/>
  <c r="C633" i="6"/>
  <c r="A633" i="6"/>
  <c r="C632" i="6"/>
  <c r="A632" i="6"/>
  <c r="C631" i="6"/>
  <c r="A631" i="6"/>
  <c r="C630" i="6"/>
  <c r="A630" i="6"/>
  <c r="C629" i="6"/>
  <c r="A629" i="6"/>
  <c r="C628" i="6"/>
  <c r="A628" i="6"/>
  <c r="A626" i="6"/>
  <c r="C624" i="6"/>
  <c r="C623" i="6"/>
  <c r="C622" i="6"/>
  <c r="C621" i="6"/>
  <c r="C620" i="6"/>
  <c r="C619" i="6"/>
  <c r="C618" i="6"/>
  <c r="C617" i="6"/>
  <c r="C616" i="6"/>
  <c r="C615" i="6"/>
  <c r="A613" i="6"/>
  <c r="C611" i="6"/>
  <c r="C610" i="6"/>
  <c r="C609" i="6"/>
  <c r="C608" i="6"/>
  <c r="C607" i="6"/>
  <c r="C606" i="6"/>
  <c r="C605" i="6"/>
  <c r="C604" i="6"/>
  <c r="C603" i="6"/>
  <c r="C602" i="6"/>
  <c r="A600" i="6"/>
  <c r="C598" i="6"/>
  <c r="C597" i="6"/>
  <c r="C596" i="6"/>
  <c r="C595" i="6"/>
  <c r="C594" i="6"/>
  <c r="C593" i="6"/>
  <c r="C592" i="6"/>
  <c r="C591" i="6"/>
  <c r="C590" i="6"/>
  <c r="C589" i="6"/>
  <c r="A587" i="6"/>
  <c r="C585" i="6"/>
  <c r="C584" i="6"/>
  <c r="C583" i="6"/>
  <c r="C582" i="6"/>
  <c r="C581" i="6"/>
  <c r="C580" i="6"/>
  <c r="C579" i="6"/>
  <c r="C578" i="6"/>
  <c r="C577" i="6"/>
  <c r="C576" i="6"/>
  <c r="A574" i="6"/>
  <c r="C572" i="6"/>
  <c r="C571" i="6"/>
  <c r="C570" i="6"/>
  <c r="C569" i="6"/>
  <c r="C568" i="6"/>
  <c r="C567" i="6"/>
  <c r="C565" i="6"/>
  <c r="C564" i="6"/>
  <c r="C563" i="6"/>
  <c r="A561" i="6"/>
  <c r="C546" i="6"/>
  <c r="C545" i="6"/>
  <c r="C544" i="6"/>
  <c r="C543" i="6"/>
  <c r="C542" i="6"/>
  <c r="C541" i="6"/>
  <c r="C540" i="6"/>
  <c r="C539" i="6"/>
  <c r="C538" i="6"/>
  <c r="C537" i="6"/>
  <c r="A535" i="6"/>
  <c r="C533" i="6"/>
  <c r="C532" i="6"/>
  <c r="C531" i="6"/>
  <c r="C530" i="6"/>
  <c r="C529" i="6"/>
  <c r="C528" i="6"/>
  <c r="C527" i="6"/>
  <c r="C526" i="6"/>
  <c r="C525" i="6"/>
  <c r="C524" i="6"/>
  <c r="A522" i="6"/>
  <c r="C520" i="6"/>
  <c r="C519" i="6"/>
  <c r="C518" i="6"/>
  <c r="C517" i="6"/>
  <c r="C516" i="6"/>
  <c r="C515" i="6"/>
  <c r="C514" i="6"/>
  <c r="C513" i="6"/>
  <c r="C512" i="6"/>
  <c r="C511" i="6"/>
  <c r="A509" i="6"/>
  <c r="C507" i="6"/>
  <c r="C506" i="6"/>
  <c r="C505" i="6"/>
  <c r="C504" i="6"/>
  <c r="C503" i="6"/>
  <c r="C502" i="6"/>
  <c r="C501" i="6"/>
  <c r="C500" i="6"/>
  <c r="C499" i="6"/>
  <c r="C498" i="6"/>
  <c r="A496" i="6"/>
  <c r="C494" i="6"/>
  <c r="C492" i="6"/>
  <c r="C491" i="6"/>
  <c r="C490" i="6"/>
  <c r="C489" i="6"/>
  <c r="C488" i="6"/>
  <c r="C487" i="6"/>
  <c r="C486" i="6"/>
  <c r="C485" i="6"/>
  <c r="A483" i="6"/>
  <c r="C481" i="6"/>
  <c r="C480" i="6"/>
  <c r="C479" i="6"/>
  <c r="C478" i="6"/>
  <c r="C477" i="6"/>
  <c r="C476" i="6"/>
  <c r="C475" i="6"/>
  <c r="C474" i="6"/>
  <c r="C472" i="6"/>
  <c r="A470" i="6"/>
  <c r="C468" i="6"/>
  <c r="A468" i="6"/>
  <c r="C467" i="6"/>
  <c r="A467" i="6"/>
  <c r="C466" i="6"/>
  <c r="A466" i="6"/>
  <c r="C465" i="6"/>
  <c r="A465" i="6"/>
  <c r="C464" i="6"/>
  <c r="A464" i="6"/>
  <c r="C463" i="6"/>
  <c r="A463" i="6"/>
  <c r="C462" i="6"/>
  <c r="A462" i="6"/>
  <c r="C461" i="6"/>
  <c r="A461" i="6"/>
  <c r="C460" i="6"/>
  <c r="A460" i="6"/>
  <c r="C459" i="6"/>
  <c r="A459" i="6"/>
  <c r="A457" i="6"/>
  <c r="C455" i="6"/>
  <c r="C454" i="6"/>
  <c r="C453" i="6"/>
  <c r="C452" i="6"/>
  <c r="C451" i="6"/>
  <c r="C450" i="6"/>
  <c r="C449" i="6"/>
  <c r="C448" i="6"/>
  <c r="C447" i="6"/>
  <c r="C446" i="6"/>
  <c r="A444" i="6"/>
  <c r="C429" i="6"/>
  <c r="C428" i="6"/>
  <c r="C427" i="6"/>
  <c r="C426" i="6"/>
  <c r="C425" i="6"/>
  <c r="C424" i="6"/>
  <c r="C423" i="6"/>
  <c r="C422" i="6"/>
  <c r="C421" i="6"/>
  <c r="C420" i="6"/>
  <c r="A418" i="6"/>
  <c r="C416" i="6"/>
  <c r="C415" i="6"/>
  <c r="C414" i="6"/>
  <c r="C413" i="6"/>
  <c r="C412" i="6"/>
  <c r="C411" i="6"/>
  <c r="C410" i="6"/>
  <c r="C409" i="6"/>
  <c r="C408" i="6"/>
  <c r="C407" i="6"/>
  <c r="A405" i="6"/>
  <c r="C390" i="6"/>
  <c r="C389" i="6"/>
  <c r="C388" i="6"/>
  <c r="C387" i="6"/>
  <c r="C386" i="6"/>
  <c r="C385" i="6"/>
  <c r="C384" i="6"/>
  <c r="C383" i="6"/>
  <c r="C382" i="6"/>
  <c r="C381" i="6"/>
  <c r="A379" i="6"/>
  <c r="C377" i="6"/>
  <c r="C376" i="6"/>
  <c r="C375" i="6"/>
  <c r="C374" i="6"/>
  <c r="C373" i="6"/>
  <c r="C372" i="6"/>
  <c r="C371" i="6"/>
  <c r="C370" i="6"/>
  <c r="C369" i="6"/>
  <c r="C368" i="6"/>
  <c r="A366" i="6"/>
  <c r="C364" i="6"/>
  <c r="C363" i="6"/>
  <c r="C358" i="6"/>
  <c r="C356" i="6"/>
  <c r="C355" i="6"/>
  <c r="C351" i="6"/>
  <c r="C350" i="6"/>
  <c r="C349" i="6"/>
  <c r="C348" i="6"/>
  <c r="C347" i="6"/>
  <c r="C346" i="6"/>
  <c r="C345" i="6"/>
  <c r="C344" i="6"/>
  <c r="C343" i="6"/>
  <c r="C342" i="6"/>
  <c r="A340" i="6"/>
  <c r="C325" i="6"/>
  <c r="C324" i="6"/>
  <c r="C323" i="6"/>
  <c r="C322" i="6"/>
  <c r="C321" i="6"/>
  <c r="C320" i="6"/>
  <c r="C319" i="6"/>
  <c r="C318" i="6"/>
  <c r="C317" i="6"/>
  <c r="C316" i="6"/>
  <c r="A314" i="6"/>
  <c r="C312" i="6"/>
  <c r="C311" i="6"/>
  <c r="C310" i="6"/>
  <c r="C309" i="6"/>
  <c r="C308" i="6"/>
  <c r="C307" i="6"/>
  <c r="C306" i="6"/>
  <c r="C305" i="6"/>
  <c r="C304" i="6"/>
  <c r="C303" i="6"/>
  <c r="A301" i="6"/>
  <c r="C286" i="6"/>
  <c r="C285" i="6"/>
  <c r="C284" i="6"/>
  <c r="C283" i="6"/>
  <c r="C282" i="6"/>
  <c r="C281" i="6"/>
  <c r="C280" i="6"/>
  <c r="C279" i="6"/>
  <c r="C278" i="6"/>
  <c r="C277" i="6"/>
  <c r="A275" i="6"/>
  <c r="C273" i="6"/>
  <c r="C272" i="6"/>
  <c r="C271" i="6"/>
  <c r="C270" i="6"/>
  <c r="C269" i="6"/>
  <c r="C268" i="6"/>
  <c r="C267" i="6"/>
  <c r="C266" i="6"/>
  <c r="C265" i="6"/>
  <c r="C264" i="6"/>
  <c r="A262" i="6"/>
  <c r="C260" i="6"/>
  <c r="C259" i="6"/>
  <c r="C258" i="6"/>
  <c r="C257" i="6"/>
  <c r="C256" i="6"/>
  <c r="C255" i="6"/>
  <c r="C254" i="6"/>
  <c r="C253" i="6"/>
  <c r="C252" i="6"/>
  <c r="C251" i="6"/>
  <c r="A249" i="6"/>
  <c r="C247" i="6"/>
  <c r="C246" i="6"/>
  <c r="C245" i="6"/>
  <c r="C244" i="6"/>
  <c r="C243" i="6"/>
  <c r="C242" i="6"/>
  <c r="C241" i="6"/>
  <c r="C240" i="6"/>
  <c r="C239" i="6"/>
  <c r="C238" i="6"/>
  <c r="A236" i="6"/>
  <c r="C221" i="6"/>
  <c r="A221" i="6"/>
  <c r="C220" i="6"/>
  <c r="A220" i="6"/>
  <c r="C219" i="6"/>
  <c r="A219" i="6"/>
  <c r="C218" i="6"/>
  <c r="A218" i="6"/>
  <c r="C217" i="6"/>
  <c r="A217" i="6"/>
  <c r="C216" i="6"/>
  <c r="A216" i="6"/>
  <c r="C215" i="6"/>
  <c r="A215" i="6"/>
  <c r="C214" i="6"/>
  <c r="A214" i="6"/>
  <c r="C213" i="6"/>
  <c r="A213" i="6"/>
  <c r="C212" i="6"/>
  <c r="A212" i="6"/>
  <c r="A210" i="6"/>
  <c r="C208" i="6"/>
  <c r="C207" i="6"/>
  <c r="C206" i="6"/>
  <c r="C205" i="6"/>
  <c r="C204" i="6"/>
  <c r="C203" i="6"/>
  <c r="C202" i="6"/>
  <c r="C201" i="6"/>
  <c r="C200" i="6"/>
  <c r="C199" i="6"/>
  <c r="A197" i="6"/>
  <c r="C182" i="6"/>
  <c r="C181" i="6"/>
  <c r="C180" i="6"/>
  <c r="C179" i="6"/>
  <c r="C178" i="6"/>
  <c r="C177" i="6"/>
  <c r="C176" i="6"/>
  <c r="C175" i="6"/>
  <c r="C174" i="6"/>
  <c r="C173" i="6"/>
  <c r="A171" i="6"/>
  <c r="C143" i="6"/>
  <c r="C142" i="6"/>
  <c r="C141" i="6"/>
  <c r="C140" i="6"/>
  <c r="C139" i="6"/>
  <c r="C138" i="6"/>
  <c r="C137" i="6"/>
  <c r="C136" i="6"/>
  <c r="C135" i="6"/>
  <c r="C134" i="6"/>
  <c r="A132" i="6"/>
  <c r="C130" i="6"/>
  <c r="C129" i="6"/>
  <c r="C128" i="6"/>
  <c r="C127" i="6"/>
  <c r="C126" i="6"/>
  <c r="C125" i="6"/>
  <c r="C124" i="6"/>
  <c r="C123" i="6"/>
  <c r="C122" i="6"/>
  <c r="C121" i="6"/>
  <c r="A119" i="6"/>
  <c r="C91" i="6"/>
  <c r="C90" i="6"/>
  <c r="C89" i="6"/>
  <c r="C88" i="6"/>
  <c r="C87" i="6"/>
  <c r="C86" i="6"/>
  <c r="C85" i="6"/>
  <c r="C84" i="6"/>
  <c r="C83" i="6"/>
  <c r="C82" i="6"/>
  <c r="A80" i="6"/>
  <c r="C77" i="6"/>
  <c r="C76" i="6"/>
  <c r="C75" i="6"/>
  <c r="C74" i="6"/>
  <c r="C73" i="6"/>
  <c r="C72" i="6"/>
  <c r="C71" i="6"/>
  <c r="C70" i="6"/>
  <c r="C69" i="6"/>
  <c r="A67" i="6"/>
  <c r="C52" i="6"/>
  <c r="A52" i="6"/>
  <c r="C51" i="6"/>
  <c r="A51" i="6"/>
  <c r="C50" i="6"/>
  <c r="A50" i="6"/>
  <c r="C49" i="6"/>
  <c r="A49" i="6"/>
  <c r="C48" i="6"/>
  <c r="C47" i="6"/>
  <c r="A47" i="6"/>
  <c r="C46" i="6"/>
  <c r="A46" i="6"/>
  <c r="C45" i="6"/>
  <c r="A45" i="6"/>
  <c r="C44" i="6"/>
  <c r="A44" i="6"/>
  <c r="C43" i="6"/>
  <c r="A43" i="6"/>
  <c r="A41" i="6"/>
  <c r="C38" i="6"/>
  <c r="C37" i="6"/>
  <c r="C36" i="6"/>
  <c r="C35" i="6"/>
  <c r="C34" i="6"/>
  <c r="C33" i="6"/>
  <c r="C32" i="6"/>
  <c r="C31" i="6"/>
  <c r="C30" i="6"/>
  <c r="C26" i="6"/>
  <c r="C25" i="6"/>
  <c r="C24" i="6"/>
  <c r="C23" i="6"/>
  <c r="C22" i="6"/>
  <c r="C21" i="6"/>
  <c r="C20" i="6"/>
  <c r="C19" i="6"/>
  <c r="C18" i="6"/>
  <c r="C17" i="6"/>
  <c r="A15" i="6"/>
  <c r="C13" i="6"/>
  <c r="C12" i="6"/>
  <c r="C11" i="6"/>
  <c r="C10" i="6"/>
  <c r="C9" i="6"/>
  <c r="C8" i="6"/>
  <c r="C7" i="6"/>
  <c r="C6" i="6"/>
  <c r="C5" i="6"/>
  <c r="C4" i="6"/>
  <c r="A2" i="6"/>
  <c r="C943" i="5"/>
  <c r="A943" i="5"/>
  <c r="C942" i="5"/>
  <c r="A942" i="5"/>
  <c r="C941" i="5"/>
  <c r="A941" i="5"/>
  <c r="C940" i="5"/>
  <c r="A940" i="5"/>
  <c r="C939" i="5"/>
  <c r="A939" i="5"/>
  <c r="C938" i="5"/>
  <c r="A938" i="5"/>
  <c r="C937" i="5"/>
  <c r="A937" i="5"/>
  <c r="C936" i="5"/>
  <c r="C935" i="5"/>
  <c r="A935" i="5"/>
  <c r="C934" i="5"/>
  <c r="A934" i="5"/>
  <c r="A932" i="5"/>
  <c r="C917" i="5"/>
  <c r="C916" i="5"/>
  <c r="C915" i="5"/>
  <c r="C914" i="5"/>
  <c r="C913" i="5"/>
  <c r="C912" i="5"/>
  <c r="C911" i="5"/>
  <c r="C910" i="5"/>
  <c r="C909" i="5"/>
  <c r="C908" i="5"/>
  <c r="A906" i="5"/>
  <c r="C904" i="5"/>
  <c r="A904" i="5"/>
  <c r="C903" i="5"/>
  <c r="A903" i="5"/>
  <c r="C902" i="5"/>
  <c r="A902" i="5"/>
  <c r="C901" i="5"/>
  <c r="A901" i="5"/>
  <c r="C900" i="5"/>
  <c r="A900" i="5"/>
  <c r="C899" i="5"/>
  <c r="A899" i="5"/>
  <c r="C898" i="5"/>
  <c r="A898" i="5"/>
  <c r="C897" i="5"/>
  <c r="A897" i="5"/>
  <c r="C896" i="5"/>
  <c r="A896" i="5"/>
  <c r="C895" i="5"/>
  <c r="A895" i="5"/>
  <c r="A893" i="5"/>
  <c r="C878" i="5"/>
  <c r="A878" i="5"/>
  <c r="C875" i="5"/>
  <c r="A875" i="5"/>
  <c r="C874" i="5"/>
  <c r="A874" i="5"/>
  <c r="C872" i="5"/>
  <c r="A872" i="5"/>
  <c r="C871" i="5"/>
  <c r="A871" i="5"/>
  <c r="C870" i="5"/>
  <c r="A870" i="5"/>
  <c r="C869" i="5"/>
  <c r="A869" i="5"/>
  <c r="C852" i="5"/>
  <c r="C851" i="5"/>
  <c r="C850" i="5"/>
  <c r="C849" i="5"/>
  <c r="C848" i="5"/>
  <c r="C847" i="5"/>
  <c r="C846" i="5"/>
  <c r="C845" i="5"/>
  <c r="C844" i="5"/>
  <c r="C843" i="5"/>
  <c r="A841" i="5"/>
  <c r="C838" i="5"/>
  <c r="C836" i="5"/>
  <c r="C835" i="5"/>
  <c r="C834" i="5"/>
  <c r="C832" i="5"/>
  <c r="C831" i="5"/>
  <c r="C830" i="5"/>
  <c r="A828" i="5"/>
  <c r="C826" i="5"/>
  <c r="C825" i="5"/>
  <c r="C824" i="5"/>
  <c r="C823" i="5"/>
  <c r="C822" i="5"/>
  <c r="C820" i="5"/>
  <c r="C819" i="5"/>
  <c r="C818" i="5"/>
  <c r="C817" i="5"/>
  <c r="A815" i="5"/>
  <c r="C813" i="5"/>
  <c r="C812" i="5"/>
  <c r="C811" i="5"/>
  <c r="C810" i="5"/>
  <c r="C809" i="5"/>
  <c r="C808" i="5"/>
  <c r="C807" i="5"/>
  <c r="C806" i="5"/>
  <c r="C805" i="5"/>
  <c r="C804" i="5"/>
  <c r="A802" i="5"/>
  <c r="C786" i="5"/>
  <c r="C785" i="5"/>
  <c r="C784" i="5"/>
  <c r="C783" i="5"/>
  <c r="C782" i="5"/>
  <c r="C781" i="5"/>
  <c r="C780" i="5"/>
  <c r="C779" i="5"/>
  <c r="C778" i="5"/>
  <c r="C777" i="5"/>
  <c r="A775" i="5"/>
  <c r="C747" i="5"/>
  <c r="C746" i="5"/>
  <c r="C745" i="5"/>
  <c r="C744" i="5"/>
  <c r="C743" i="5"/>
  <c r="C742" i="5"/>
  <c r="C741" i="5"/>
  <c r="C740" i="5"/>
  <c r="C739" i="5"/>
  <c r="C738" i="5"/>
  <c r="A736" i="5"/>
  <c r="C734" i="5"/>
  <c r="C733" i="5"/>
  <c r="C732" i="5"/>
  <c r="C731" i="5"/>
  <c r="C730" i="5"/>
  <c r="C729" i="5"/>
  <c r="C728" i="5"/>
  <c r="C727" i="5"/>
  <c r="C726" i="5"/>
  <c r="C725" i="5"/>
  <c r="A723" i="5"/>
  <c r="C708" i="5"/>
  <c r="A708" i="5"/>
  <c r="C707" i="5"/>
  <c r="A707" i="5"/>
  <c r="C706" i="5"/>
  <c r="A706" i="5"/>
  <c r="C705" i="5"/>
  <c r="A705" i="5"/>
  <c r="C704" i="5"/>
  <c r="A704" i="5"/>
  <c r="C703" i="5"/>
  <c r="A703" i="5"/>
  <c r="C702" i="5"/>
  <c r="A702" i="5"/>
  <c r="C701" i="5"/>
  <c r="A701" i="5"/>
  <c r="C700" i="5"/>
  <c r="A700" i="5"/>
  <c r="C699" i="5"/>
  <c r="A699" i="5"/>
  <c r="A697" i="5"/>
  <c r="C683" i="5"/>
  <c r="A683" i="5"/>
  <c r="C682" i="5"/>
  <c r="A682" i="5"/>
  <c r="C681" i="5"/>
  <c r="A681" i="5"/>
  <c r="C680" i="5"/>
  <c r="A680" i="5"/>
  <c r="C679" i="5"/>
  <c r="A679" i="5"/>
  <c r="C678" i="5"/>
  <c r="A678" i="5"/>
  <c r="C677" i="5"/>
  <c r="A677" i="5"/>
  <c r="C676" i="5"/>
  <c r="A676" i="5"/>
  <c r="C675" i="5"/>
  <c r="A675" i="5"/>
  <c r="C674" i="5"/>
  <c r="A674" i="5"/>
  <c r="A672" i="5"/>
  <c r="C670" i="5"/>
  <c r="A670" i="5"/>
  <c r="C669" i="5"/>
  <c r="A669" i="5"/>
  <c r="C668" i="5"/>
  <c r="A668" i="5"/>
  <c r="C667" i="5"/>
  <c r="A667" i="5"/>
  <c r="C666" i="5"/>
  <c r="A666" i="5"/>
  <c r="C665" i="5"/>
  <c r="A665" i="5"/>
  <c r="C664" i="5"/>
  <c r="A664" i="5"/>
  <c r="C663" i="5"/>
  <c r="A663" i="5"/>
  <c r="C662" i="5"/>
  <c r="A662" i="5"/>
  <c r="C661" i="5"/>
  <c r="A661" i="5"/>
  <c r="A659" i="5"/>
  <c r="C657" i="5"/>
  <c r="C656" i="5"/>
  <c r="C655" i="5"/>
  <c r="C654" i="5"/>
  <c r="C653" i="5"/>
  <c r="C652" i="5"/>
  <c r="C651" i="5"/>
  <c r="C650" i="5"/>
  <c r="C649" i="5"/>
  <c r="C648" i="5"/>
  <c r="A646" i="5"/>
  <c r="C631" i="5"/>
  <c r="C630" i="5"/>
  <c r="C629" i="5"/>
  <c r="C628" i="5"/>
  <c r="C627" i="5"/>
  <c r="C626" i="5"/>
  <c r="C625" i="5"/>
  <c r="C624" i="5"/>
  <c r="C623" i="5"/>
  <c r="C622" i="5"/>
  <c r="A620" i="5"/>
  <c r="C592" i="5"/>
  <c r="C591" i="5"/>
  <c r="C590" i="5"/>
  <c r="C589" i="5"/>
  <c r="C588" i="5"/>
  <c r="C587" i="5"/>
  <c r="C586" i="5"/>
  <c r="C585" i="5"/>
  <c r="C584" i="5"/>
  <c r="C583" i="5"/>
  <c r="A581" i="5"/>
  <c r="C579" i="5"/>
  <c r="A579" i="5"/>
  <c r="C578" i="5"/>
  <c r="A578" i="5"/>
  <c r="C577" i="5"/>
  <c r="A577" i="5"/>
  <c r="C576" i="5"/>
  <c r="A576" i="5"/>
  <c r="C575" i="5"/>
  <c r="A575" i="5"/>
  <c r="C574" i="5"/>
  <c r="A574" i="5"/>
  <c r="C573" i="5"/>
  <c r="A573" i="5"/>
  <c r="C572" i="5"/>
  <c r="A572" i="5"/>
  <c r="C571" i="5"/>
  <c r="A571" i="5"/>
  <c r="C570" i="5"/>
  <c r="A570" i="5"/>
  <c r="A568" i="5"/>
  <c r="C566" i="5"/>
  <c r="C565" i="5"/>
  <c r="C564" i="5"/>
  <c r="C563" i="5"/>
  <c r="C562" i="5"/>
  <c r="C561" i="5"/>
  <c r="C560" i="5"/>
  <c r="C559" i="5"/>
  <c r="C558" i="5"/>
  <c r="C557" i="5"/>
  <c r="A555" i="5"/>
  <c r="C553" i="5"/>
  <c r="C552" i="5"/>
  <c r="C551" i="5"/>
  <c r="C550" i="5"/>
  <c r="C549" i="5"/>
  <c r="C548" i="5"/>
  <c r="C547" i="5"/>
  <c r="C546" i="5"/>
  <c r="C545" i="5"/>
  <c r="C544" i="5"/>
  <c r="A542" i="5"/>
  <c r="C523" i="5"/>
  <c r="C522" i="5"/>
  <c r="C521" i="5"/>
  <c r="C520" i="5"/>
  <c r="C519" i="5"/>
  <c r="C518" i="5"/>
  <c r="C517" i="5"/>
  <c r="C516" i="5"/>
  <c r="C527" i="5"/>
  <c r="C515" i="5"/>
  <c r="A513" i="5"/>
  <c r="C498" i="5"/>
  <c r="C497" i="5"/>
  <c r="C496" i="5"/>
  <c r="C495" i="5"/>
  <c r="C494" i="5"/>
  <c r="C493" i="5"/>
  <c r="C492" i="5"/>
  <c r="C491" i="5"/>
  <c r="C490" i="5"/>
  <c r="C489" i="5"/>
  <c r="A487" i="5"/>
  <c r="C485" i="5"/>
  <c r="C484" i="5"/>
  <c r="C483" i="5"/>
  <c r="C482" i="5"/>
  <c r="C481" i="5"/>
  <c r="C480" i="5"/>
  <c r="C479" i="5"/>
  <c r="C478" i="5"/>
  <c r="C477" i="5"/>
  <c r="C476" i="5"/>
  <c r="A474" i="5"/>
  <c r="C459" i="5"/>
  <c r="C458" i="5"/>
  <c r="C457" i="5"/>
  <c r="C456" i="5"/>
  <c r="C455" i="5"/>
  <c r="C454" i="5"/>
  <c r="C453" i="5"/>
  <c r="C452" i="5"/>
  <c r="C451" i="5"/>
  <c r="C450" i="5"/>
  <c r="A448" i="5"/>
  <c r="C446" i="5"/>
  <c r="C445" i="5"/>
  <c r="C444" i="5"/>
  <c r="C443" i="5"/>
  <c r="C442" i="5"/>
  <c r="C441" i="5"/>
  <c r="C440" i="5"/>
  <c r="C439" i="5"/>
  <c r="C438" i="5"/>
  <c r="C437" i="5"/>
  <c r="A435" i="5"/>
  <c r="C433" i="5"/>
  <c r="C432" i="5"/>
  <c r="C431" i="5"/>
  <c r="C430" i="5"/>
  <c r="C429" i="5"/>
  <c r="C428" i="5"/>
  <c r="C427" i="5"/>
  <c r="C426" i="5"/>
  <c r="C425" i="5"/>
  <c r="C424" i="5"/>
  <c r="A422" i="5"/>
  <c r="C420" i="5"/>
  <c r="C419" i="5"/>
  <c r="C418" i="5"/>
  <c r="C417" i="5"/>
  <c r="C416" i="5"/>
  <c r="C415" i="5"/>
  <c r="C414" i="5"/>
  <c r="C413" i="5"/>
  <c r="C412" i="5"/>
  <c r="C411" i="5"/>
  <c r="A409" i="5"/>
  <c r="C407" i="5"/>
  <c r="C406" i="5"/>
  <c r="C405" i="5"/>
  <c r="C404" i="5"/>
  <c r="C403" i="5"/>
  <c r="C402" i="5"/>
  <c r="C400" i="5"/>
  <c r="C399" i="5"/>
  <c r="C398" i="5"/>
  <c r="A396" i="5"/>
  <c r="C394" i="5"/>
  <c r="A394" i="5"/>
  <c r="C393" i="5"/>
  <c r="A393" i="5"/>
  <c r="C392" i="5"/>
  <c r="A392" i="5"/>
  <c r="C391" i="5"/>
  <c r="A391" i="5"/>
  <c r="C390" i="5"/>
  <c r="A390" i="5"/>
  <c r="C389" i="5"/>
  <c r="A389" i="5"/>
  <c r="C388" i="5"/>
  <c r="A388" i="5"/>
  <c r="C387" i="5"/>
  <c r="A387" i="5"/>
  <c r="C386" i="5"/>
  <c r="A386" i="5"/>
  <c r="C385" i="5"/>
  <c r="A385" i="5"/>
  <c r="A383" i="5"/>
  <c r="C355" i="5"/>
  <c r="C353" i="5"/>
  <c r="C352" i="5"/>
  <c r="C351" i="5"/>
  <c r="C350" i="5"/>
  <c r="C349" i="5"/>
  <c r="C348" i="5"/>
  <c r="C347" i="5"/>
  <c r="C346" i="5"/>
  <c r="A344" i="5"/>
  <c r="C329" i="5"/>
  <c r="C328" i="5"/>
  <c r="C327" i="5"/>
  <c r="C326" i="5"/>
  <c r="C325" i="5"/>
  <c r="C324" i="5"/>
  <c r="C323" i="5"/>
  <c r="C322" i="5"/>
  <c r="C321" i="5"/>
  <c r="C320" i="5"/>
  <c r="A318" i="5"/>
  <c r="C316" i="5"/>
  <c r="C315" i="5"/>
  <c r="C314" i="5"/>
  <c r="C313" i="5"/>
  <c r="C312" i="5"/>
  <c r="C311" i="5"/>
  <c r="C310" i="5"/>
  <c r="C309" i="5"/>
  <c r="C308" i="5"/>
  <c r="C307" i="5"/>
  <c r="A305" i="5"/>
  <c r="C303" i="5"/>
  <c r="C302" i="5"/>
  <c r="C301" i="5"/>
  <c r="C300" i="5"/>
  <c r="C299" i="5"/>
  <c r="C298" i="5"/>
  <c r="C297" i="5"/>
  <c r="C296" i="5"/>
  <c r="C295" i="5"/>
  <c r="C294" i="5"/>
  <c r="A292" i="5"/>
  <c r="C277" i="5"/>
  <c r="C276" i="5"/>
  <c r="C274" i="5"/>
  <c r="C273" i="5"/>
  <c r="C272" i="5"/>
  <c r="C269" i="5"/>
  <c r="C268" i="5"/>
  <c r="A266" i="5"/>
  <c r="C264" i="5"/>
  <c r="C263" i="5"/>
  <c r="C262" i="5"/>
  <c r="C261" i="5"/>
  <c r="C260" i="5"/>
  <c r="C259" i="5"/>
  <c r="C258" i="5"/>
  <c r="C257" i="5"/>
  <c r="C256" i="5"/>
  <c r="C255" i="5"/>
  <c r="A253" i="5"/>
  <c r="C251" i="5"/>
  <c r="C249" i="5"/>
  <c r="C248" i="5"/>
  <c r="C247" i="5"/>
  <c r="C246" i="5"/>
  <c r="C245" i="5"/>
  <c r="C244" i="5"/>
  <c r="C243" i="5"/>
  <c r="C242" i="5"/>
  <c r="A240" i="5"/>
  <c r="C238" i="5"/>
  <c r="A238" i="5"/>
  <c r="C237" i="5"/>
  <c r="A237" i="5"/>
  <c r="C236" i="5"/>
  <c r="A236" i="5"/>
  <c r="C235" i="5"/>
  <c r="A235" i="5"/>
  <c r="C234" i="5"/>
  <c r="A234" i="5"/>
  <c r="C233" i="5"/>
  <c r="A233" i="5"/>
  <c r="C232" i="5"/>
  <c r="A232" i="5"/>
  <c r="C231" i="5"/>
  <c r="A231" i="5"/>
  <c r="C230" i="5"/>
  <c r="A230" i="5"/>
  <c r="C229" i="5"/>
  <c r="A229" i="5"/>
  <c r="A227" i="5"/>
  <c r="C225" i="5"/>
  <c r="A225" i="5"/>
  <c r="C224" i="5"/>
  <c r="A224" i="5"/>
  <c r="C223" i="5"/>
  <c r="A223" i="5"/>
  <c r="C222" i="5"/>
  <c r="A222" i="5"/>
  <c r="C221" i="5"/>
  <c r="A221" i="5"/>
  <c r="C220" i="5"/>
  <c r="A220" i="5"/>
  <c r="C219" i="5"/>
  <c r="A219" i="5"/>
  <c r="C218" i="5"/>
  <c r="A218" i="5"/>
  <c r="C217" i="5"/>
  <c r="A217" i="5"/>
  <c r="C216" i="5"/>
  <c r="A216" i="5"/>
  <c r="A214" i="5"/>
  <c r="C185" i="5"/>
  <c r="C184" i="5"/>
  <c r="C183" i="5"/>
  <c r="C182" i="5"/>
  <c r="C181" i="5"/>
  <c r="C180" i="5"/>
  <c r="C179" i="5"/>
  <c r="C178" i="5"/>
  <c r="C177" i="5"/>
  <c r="C176" i="5"/>
  <c r="A174" i="5"/>
  <c r="C172" i="5"/>
  <c r="C171" i="5"/>
  <c r="C170" i="5"/>
  <c r="C169" i="5"/>
  <c r="C168" i="5"/>
  <c r="C167" i="5"/>
  <c r="C166" i="5"/>
  <c r="C165" i="5"/>
  <c r="C164" i="5"/>
  <c r="C163" i="5"/>
  <c r="A161" i="5"/>
  <c r="C120" i="5"/>
  <c r="A120" i="5"/>
  <c r="C119" i="5"/>
  <c r="A119" i="5"/>
  <c r="C118" i="5"/>
  <c r="A118" i="5"/>
  <c r="C117" i="5"/>
  <c r="A117" i="5"/>
  <c r="C116" i="5"/>
  <c r="A116" i="5"/>
  <c r="C115" i="5"/>
  <c r="A115" i="5"/>
  <c r="C114" i="5"/>
  <c r="A114" i="5"/>
  <c r="C113" i="5"/>
  <c r="A113" i="5"/>
  <c r="C112" i="5"/>
  <c r="A112" i="5"/>
  <c r="C111" i="5"/>
  <c r="A111" i="5"/>
  <c r="A109" i="5"/>
  <c r="C81" i="5"/>
  <c r="C80" i="5"/>
  <c r="C78" i="5"/>
  <c r="C77" i="5"/>
  <c r="C75" i="5"/>
  <c r="C74" i="5"/>
  <c r="C72" i="5"/>
  <c r="C68" i="5"/>
  <c r="C66" i="5"/>
  <c r="C65" i="5"/>
  <c r="C64" i="5"/>
  <c r="C63" i="5"/>
  <c r="C62" i="5"/>
  <c r="C61" i="5"/>
  <c r="C60" i="5"/>
  <c r="C59" i="5"/>
  <c r="C55" i="5"/>
  <c r="C54" i="5"/>
  <c r="C53" i="5"/>
  <c r="C52" i="5"/>
  <c r="C51" i="5"/>
  <c r="C50" i="5"/>
  <c r="C49" i="5"/>
  <c r="C48" i="5"/>
  <c r="C47" i="5"/>
  <c r="C46" i="5"/>
  <c r="A44" i="5"/>
  <c r="C26" i="5"/>
  <c r="C25" i="5"/>
  <c r="C24" i="5"/>
  <c r="C23" i="5"/>
  <c r="C22" i="5"/>
  <c r="C21" i="5"/>
  <c r="C20" i="5"/>
  <c r="C19" i="5"/>
  <c r="C18" i="5"/>
  <c r="C17" i="5"/>
  <c r="A15" i="5"/>
  <c r="C13" i="5"/>
  <c r="A13" i="5"/>
  <c r="C12" i="5"/>
  <c r="A12" i="5"/>
  <c r="C11" i="5"/>
  <c r="A11" i="5"/>
  <c r="C10" i="5"/>
  <c r="A10" i="5"/>
  <c r="C9" i="5"/>
  <c r="A9" i="5"/>
  <c r="C8" i="5"/>
  <c r="A8" i="5"/>
  <c r="C7" i="5"/>
  <c r="A7" i="5"/>
  <c r="C6" i="5"/>
  <c r="A6" i="5"/>
  <c r="C5" i="5"/>
  <c r="A5" i="5"/>
  <c r="C4" i="5"/>
  <c r="A4" i="5"/>
  <c r="A2" i="5"/>
  <c r="C568" i="4"/>
  <c r="C567" i="4"/>
  <c r="C566" i="4"/>
  <c r="C565" i="4"/>
  <c r="C564" i="4"/>
  <c r="C563" i="4"/>
  <c r="C562" i="4"/>
  <c r="C561" i="4"/>
  <c r="C560" i="4"/>
  <c r="C559" i="4"/>
  <c r="A557" i="4"/>
  <c r="C542" i="4"/>
  <c r="C541" i="4"/>
  <c r="C540" i="4"/>
  <c r="C539" i="4"/>
  <c r="C538" i="4"/>
  <c r="C537" i="4"/>
  <c r="C536" i="4"/>
  <c r="C535" i="4"/>
  <c r="C534" i="4"/>
  <c r="C533" i="4"/>
  <c r="A531" i="4"/>
  <c r="C516" i="4"/>
  <c r="C515" i="4"/>
  <c r="C514" i="4"/>
  <c r="C513" i="4"/>
  <c r="C512" i="4"/>
  <c r="C511" i="4"/>
  <c r="C510" i="4"/>
  <c r="C509" i="4"/>
  <c r="C508" i="4"/>
  <c r="C507" i="4"/>
  <c r="A505" i="4"/>
  <c r="C503" i="4"/>
  <c r="C502" i="4"/>
  <c r="C501" i="4"/>
  <c r="C500" i="4"/>
  <c r="C499" i="4"/>
  <c r="C498" i="4"/>
  <c r="C497" i="4"/>
  <c r="C496" i="4"/>
  <c r="C495" i="4"/>
  <c r="C494" i="4"/>
  <c r="A492" i="4"/>
  <c r="C490" i="4"/>
  <c r="C489" i="4"/>
  <c r="C488" i="4"/>
  <c r="C487" i="4"/>
  <c r="C486" i="4"/>
  <c r="C485" i="4"/>
  <c r="C484" i="4"/>
  <c r="C483" i="4"/>
  <c r="C482" i="4"/>
  <c r="C481" i="4"/>
  <c r="A479" i="4"/>
  <c r="C477" i="4"/>
  <c r="C475" i="4"/>
  <c r="C474" i="4"/>
  <c r="C473" i="4"/>
  <c r="C472" i="4"/>
  <c r="C471" i="4"/>
  <c r="C470" i="4"/>
  <c r="C469" i="4"/>
  <c r="C468" i="4"/>
  <c r="A466" i="4"/>
  <c r="C464" i="4"/>
  <c r="C463" i="4"/>
  <c r="C462" i="4"/>
  <c r="C461" i="4"/>
  <c r="C460" i="4"/>
  <c r="C459" i="4"/>
  <c r="C458" i="4"/>
  <c r="C457" i="4"/>
  <c r="C456" i="4"/>
  <c r="C455" i="4"/>
  <c r="A453" i="4"/>
  <c r="C435" i="4"/>
  <c r="C434" i="4"/>
  <c r="C433" i="4"/>
  <c r="C432" i="4"/>
  <c r="C431" i="4"/>
  <c r="C430" i="4"/>
  <c r="C429" i="4"/>
  <c r="C428" i="4"/>
  <c r="C427" i="4"/>
  <c r="C426" i="4"/>
  <c r="A424" i="4"/>
  <c r="C409" i="4"/>
  <c r="C408" i="4"/>
  <c r="C407" i="4"/>
  <c r="C406" i="4"/>
  <c r="C405" i="4"/>
  <c r="C404" i="4"/>
  <c r="C403" i="4"/>
  <c r="C402" i="4"/>
  <c r="C401" i="4"/>
  <c r="C400" i="4"/>
  <c r="A398" i="4"/>
  <c r="C383" i="4"/>
  <c r="C382" i="4"/>
  <c r="A382" i="4"/>
  <c r="C381" i="4"/>
  <c r="A381" i="4"/>
  <c r="C380" i="4"/>
  <c r="A380" i="4"/>
  <c r="C379" i="4"/>
  <c r="A379" i="4"/>
  <c r="C378" i="4"/>
  <c r="A378" i="4"/>
  <c r="C377" i="4"/>
  <c r="A377" i="4"/>
  <c r="C376" i="4"/>
  <c r="A376" i="4"/>
  <c r="C375" i="4"/>
  <c r="A375" i="4"/>
  <c r="C374" i="4"/>
  <c r="A374" i="4"/>
  <c r="A372" i="4"/>
  <c r="C357" i="4"/>
  <c r="C356" i="4"/>
  <c r="C355" i="4"/>
  <c r="C354" i="4"/>
  <c r="C353" i="4"/>
  <c r="C352" i="4"/>
  <c r="C351" i="4"/>
  <c r="C350" i="4"/>
  <c r="C349" i="4"/>
  <c r="C348" i="4"/>
  <c r="A346" i="4"/>
  <c r="C331" i="4"/>
  <c r="C330" i="4"/>
  <c r="C329" i="4"/>
  <c r="C328" i="4"/>
  <c r="C327" i="4"/>
  <c r="C326" i="4"/>
  <c r="C325" i="4"/>
  <c r="C324" i="4"/>
  <c r="C323" i="4"/>
  <c r="C322" i="4"/>
  <c r="A320" i="4"/>
  <c r="C318" i="4"/>
  <c r="C317" i="4"/>
  <c r="C316" i="4"/>
  <c r="C315" i="4"/>
  <c r="C314" i="4"/>
  <c r="C313" i="4"/>
  <c r="C312" i="4"/>
  <c r="C311" i="4"/>
  <c r="C310" i="4"/>
  <c r="C309" i="4"/>
  <c r="A307" i="4"/>
  <c r="C305" i="4"/>
  <c r="C304" i="4"/>
  <c r="C303" i="4"/>
  <c r="C302" i="4"/>
  <c r="C301" i="4"/>
  <c r="C300" i="4"/>
  <c r="C299" i="4"/>
  <c r="C298" i="4"/>
  <c r="C297" i="4"/>
  <c r="C296" i="4"/>
  <c r="A294" i="4"/>
  <c r="C292" i="4"/>
  <c r="A292" i="4"/>
  <c r="C291" i="4"/>
  <c r="A291" i="4"/>
  <c r="C290" i="4"/>
  <c r="A290" i="4"/>
  <c r="C289" i="4"/>
  <c r="A289" i="4"/>
  <c r="C288" i="4"/>
  <c r="A288" i="4"/>
  <c r="C287" i="4"/>
  <c r="A287" i="4"/>
  <c r="C286" i="4"/>
  <c r="A286" i="4"/>
  <c r="C285" i="4"/>
  <c r="A285" i="4"/>
  <c r="C284" i="4"/>
  <c r="A284" i="4"/>
  <c r="C283" i="4"/>
  <c r="A283" i="4"/>
  <c r="A281" i="4"/>
  <c r="C279" i="4"/>
  <c r="C278" i="4"/>
  <c r="C277" i="4"/>
  <c r="C276" i="4"/>
  <c r="C275" i="4"/>
  <c r="C274" i="4"/>
  <c r="C273" i="4"/>
  <c r="C272" i="4"/>
  <c r="C271" i="4"/>
  <c r="C270" i="4"/>
  <c r="A268" i="4"/>
  <c r="C266" i="4"/>
  <c r="A266" i="4"/>
  <c r="C265" i="4"/>
  <c r="A265" i="4"/>
  <c r="C264" i="4"/>
  <c r="A264" i="4"/>
  <c r="C263" i="4"/>
  <c r="A263" i="4"/>
  <c r="C262" i="4"/>
  <c r="A262" i="4"/>
  <c r="C261" i="4"/>
  <c r="A261" i="4"/>
  <c r="C260" i="4"/>
  <c r="A260" i="4"/>
  <c r="C259" i="4"/>
  <c r="A259" i="4"/>
  <c r="C258" i="4"/>
  <c r="A258" i="4"/>
  <c r="C257" i="4"/>
  <c r="A257" i="4"/>
  <c r="A255" i="4"/>
  <c r="C253" i="4"/>
  <c r="C252" i="4"/>
  <c r="C251" i="4"/>
  <c r="C249" i="4"/>
  <c r="C248" i="4"/>
  <c r="C247" i="4"/>
  <c r="C246" i="4"/>
  <c r="C245" i="4"/>
  <c r="C244" i="4"/>
  <c r="A242" i="4"/>
  <c r="C227" i="4"/>
  <c r="C226" i="4"/>
  <c r="C225" i="4"/>
  <c r="C224" i="4"/>
  <c r="C223" i="4"/>
  <c r="C222" i="4"/>
  <c r="C221" i="4"/>
  <c r="C220" i="4"/>
  <c r="C219" i="4"/>
  <c r="C218" i="4"/>
  <c r="A216" i="4"/>
  <c r="C197" i="4"/>
  <c r="C196" i="4"/>
  <c r="C195" i="4"/>
  <c r="C194" i="4"/>
  <c r="C193" i="4"/>
  <c r="C192" i="4"/>
  <c r="C191" i="4"/>
  <c r="C190" i="4"/>
  <c r="C189" i="4"/>
  <c r="C143" i="4"/>
  <c r="C142" i="4"/>
  <c r="C141" i="4"/>
  <c r="C140" i="4"/>
  <c r="C139" i="4"/>
  <c r="C138" i="4"/>
  <c r="C137" i="4"/>
  <c r="C136" i="4"/>
  <c r="C135" i="4"/>
  <c r="C134" i="4"/>
  <c r="A132" i="4"/>
  <c r="C104" i="4"/>
  <c r="C103" i="4"/>
  <c r="C102" i="4"/>
  <c r="C101" i="4"/>
  <c r="C100" i="4"/>
  <c r="C99" i="4"/>
  <c r="C98" i="4"/>
  <c r="C97" i="4"/>
  <c r="C96" i="4"/>
  <c r="C95" i="4"/>
  <c r="A93" i="4"/>
  <c r="C91" i="4"/>
  <c r="C90" i="4"/>
  <c r="C89" i="4"/>
  <c r="C88" i="4"/>
  <c r="C87" i="4"/>
  <c r="C86" i="4"/>
  <c r="C85" i="4"/>
  <c r="C84" i="4"/>
  <c r="C83" i="4"/>
  <c r="C82" i="4"/>
  <c r="A80" i="4"/>
  <c r="C78" i="4"/>
  <c r="C77" i="4"/>
  <c r="C76" i="4"/>
  <c r="C75" i="4"/>
  <c r="C74" i="4"/>
  <c r="C73" i="4"/>
  <c r="C72" i="4"/>
  <c r="C71" i="4"/>
  <c r="C70" i="4"/>
  <c r="C69" i="4"/>
  <c r="A67" i="4"/>
  <c r="C52" i="4"/>
  <c r="C51" i="4"/>
  <c r="C50" i="4"/>
  <c r="C49" i="4"/>
  <c r="C48" i="4"/>
  <c r="C47" i="4"/>
  <c r="C46" i="4"/>
  <c r="C45" i="4"/>
  <c r="C44" i="4"/>
  <c r="C43" i="4"/>
  <c r="A41" i="4"/>
  <c r="C39" i="4"/>
  <c r="C38" i="4"/>
  <c r="C37" i="4"/>
  <c r="C36" i="4"/>
  <c r="C35" i="4"/>
  <c r="C34" i="4"/>
  <c r="C33" i="4"/>
  <c r="C32" i="4"/>
  <c r="C31" i="4"/>
  <c r="C30" i="4"/>
  <c r="A28" i="4"/>
  <c r="C26" i="4"/>
  <c r="A26" i="4"/>
  <c r="C25" i="4"/>
  <c r="A25" i="4"/>
  <c r="C24" i="4"/>
  <c r="A24" i="4"/>
  <c r="C23" i="4"/>
  <c r="A23" i="4"/>
  <c r="C22" i="4"/>
  <c r="A22" i="4"/>
  <c r="C21" i="4"/>
  <c r="A21" i="4"/>
  <c r="C20" i="4"/>
  <c r="A20" i="4"/>
  <c r="C19" i="4"/>
  <c r="A19" i="4"/>
  <c r="C18" i="4"/>
  <c r="A18" i="4"/>
  <c r="C17" i="4"/>
  <c r="A17" i="4"/>
  <c r="A15" i="4"/>
  <c r="C13" i="4"/>
  <c r="A13" i="4"/>
  <c r="C12" i="4"/>
  <c r="A12" i="4"/>
  <c r="C11" i="4"/>
  <c r="A11" i="4"/>
  <c r="C10" i="4"/>
  <c r="A10" i="4"/>
  <c r="C9" i="4"/>
  <c r="A9" i="4"/>
  <c r="C8" i="4"/>
  <c r="A8" i="4"/>
  <c r="C7" i="4"/>
  <c r="A7" i="4"/>
  <c r="C6" i="4"/>
  <c r="A6" i="4"/>
  <c r="C5" i="4"/>
  <c r="A5" i="4"/>
  <c r="C4" i="4"/>
  <c r="A4" i="4"/>
  <c r="A2" i="4"/>
  <c r="C901" i="3"/>
  <c r="C900" i="3"/>
  <c r="C899" i="3"/>
  <c r="C898" i="3"/>
  <c r="C897" i="3"/>
  <c r="C896" i="3"/>
  <c r="C895" i="3"/>
  <c r="C894" i="3"/>
  <c r="C893" i="3"/>
  <c r="C892" i="3"/>
  <c r="A890" i="3"/>
  <c r="C875" i="3"/>
  <c r="C874" i="3"/>
  <c r="C873" i="3"/>
  <c r="C872" i="3"/>
  <c r="C871" i="3"/>
  <c r="C870" i="3"/>
  <c r="C869" i="3"/>
  <c r="C868" i="3"/>
  <c r="C867" i="3"/>
  <c r="C866" i="3"/>
  <c r="A864" i="3"/>
  <c r="C849" i="3"/>
  <c r="C848" i="3"/>
  <c r="C847" i="3"/>
  <c r="C846" i="3"/>
  <c r="C845" i="3"/>
  <c r="C844" i="3"/>
  <c r="C843" i="3"/>
  <c r="C842" i="3"/>
  <c r="C841" i="3"/>
  <c r="C840" i="3"/>
  <c r="A838" i="3"/>
  <c r="C810" i="3"/>
  <c r="C809" i="3"/>
  <c r="C808" i="3"/>
  <c r="C807" i="3"/>
  <c r="C805" i="3"/>
  <c r="C804" i="3"/>
  <c r="C803" i="3"/>
  <c r="C802" i="3"/>
  <c r="C801" i="3"/>
  <c r="A799" i="3"/>
  <c r="C784" i="3"/>
  <c r="C783" i="3"/>
  <c r="C782" i="3"/>
  <c r="C781" i="3"/>
  <c r="C780" i="3"/>
  <c r="C779" i="3"/>
  <c r="C778" i="3"/>
  <c r="C777" i="3"/>
  <c r="C776" i="3"/>
  <c r="C775" i="3"/>
  <c r="A773" i="3"/>
  <c r="C771" i="3"/>
  <c r="C770" i="3"/>
  <c r="C769" i="3"/>
  <c r="C768" i="3"/>
  <c r="C767" i="3"/>
  <c r="C766" i="3"/>
  <c r="C765" i="3"/>
  <c r="C764" i="3"/>
  <c r="C763" i="3"/>
  <c r="C762" i="3"/>
  <c r="A760" i="3"/>
  <c r="C732" i="3"/>
  <c r="C731" i="3"/>
  <c r="C730" i="3"/>
  <c r="C729" i="3"/>
  <c r="C728" i="3"/>
  <c r="C727" i="3"/>
  <c r="C726" i="3"/>
  <c r="C725" i="3"/>
  <c r="C724" i="3"/>
  <c r="C723" i="3"/>
  <c r="A721" i="3"/>
  <c r="C718" i="3"/>
  <c r="C717" i="3"/>
  <c r="C716" i="3"/>
  <c r="C715" i="3"/>
  <c r="C714" i="3"/>
  <c r="C713" i="3"/>
  <c r="C712" i="3"/>
  <c r="C711" i="3"/>
  <c r="C710" i="3"/>
  <c r="A708" i="3"/>
  <c r="C706" i="3"/>
  <c r="C705" i="3"/>
  <c r="C704" i="3"/>
  <c r="C703" i="3"/>
  <c r="C702" i="3"/>
  <c r="C701" i="3"/>
  <c r="C700" i="3"/>
  <c r="C699" i="3"/>
  <c r="C698" i="3"/>
  <c r="C697" i="3"/>
  <c r="A695" i="3"/>
  <c r="C693" i="3"/>
  <c r="C692" i="3"/>
  <c r="C691" i="3"/>
  <c r="C690" i="3"/>
  <c r="C689" i="3"/>
  <c r="C688" i="3"/>
  <c r="C687" i="3"/>
  <c r="C686" i="3"/>
  <c r="C685" i="3"/>
  <c r="C684" i="3"/>
  <c r="A682" i="3"/>
  <c r="C654" i="3"/>
  <c r="C653" i="3"/>
  <c r="C652" i="3"/>
  <c r="C651" i="3"/>
  <c r="C650" i="3"/>
  <c r="C649" i="3"/>
  <c r="C648" i="3"/>
  <c r="C647" i="3"/>
  <c r="C646" i="3"/>
  <c r="C645" i="3"/>
  <c r="A643" i="3"/>
  <c r="C615" i="3"/>
  <c r="C614" i="3"/>
  <c r="C613" i="3"/>
  <c r="C612" i="3"/>
  <c r="C611" i="3"/>
  <c r="C610" i="3"/>
  <c r="C609" i="3"/>
  <c r="C608" i="3"/>
  <c r="C607" i="3"/>
  <c r="C606" i="3"/>
  <c r="A604" i="3"/>
  <c r="C589" i="3"/>
  <c r="C588" i="3"/>
  <c r="C587" i="3"/>
  <c r="C586" i="3"/>
  <c r="C585" i="3"/>
  <c r="C584" i="3"/>
  <c r="C583" i="3"/>
  <c r="C582" i="3"/>
  <c r="C581" i="3"/>
  <c r="C580" i="3"/>
  <c r="A578" i="3"/>
  <c r="C550" i="3"/>
  <c r="A550" i="3"/>
  <c r="C549" i="3"/>
  <c r="A549" i="3"/>
  <c r="C548" i="3"/>
  <c r="A548" i="3"/>
  <c r="C547" i="3"/>
  <c r="A547" i="3"/>
  <c r="C546" i="3"/>
  <c r="A546" i="3"/>
  <c r="A545" i="3"/>
  <c r="C544" i="3"/>
  <c r="A544" i="3"/>
  <c r="A543" i="3"/>
  <c r="A542" i="3"/>
  <c r="C541" i="3"/>
  <c r="A541" i="3"/>
  <c r="A539" i="3"/>
  <c r="C511" i="3"/>
  <c r="C510" i="3"/>
  <c r="C509" i="3"/>
  <c r="C508" i="3"/>
  <c r="C507" i="3"/>
  <c r="C506" i="3"/>
  <c r="C505" i="3"/>
  <c r="C504" i="3"/>
  <c r="C503" i="3"/>
  <c r="C502" i="3"/>
  <c r="A500" i="3"/>
  <c r="C485" i="3"/>
  <c r="C484" i="3"/>
  <c r="C483" i="3"/>
  <c r="C481" i="3"/>
  <c r="C480" i="3"/>
  <c r="C479" i="3"/>
  <c r="C478" i="3"/>
  <c r="C477" i="3"/>
  <c r="C476" i="3"/>
  <c r="A474" i="3"/>
  <c r="C459" i="3"/>
  <c r="C458" i="3"/>
  <c r="C457" i="3"/>
  <c r="C456" i="3"/>
  <c r="C455" i="3"/>
  <c r="C454" i="3"/>
  <c r="C453" i="3"/>
  <c r="C452" i="3"/>
  <c r="C451" i="3"/>
  <c r="C450" i="3"/>
  <c r="A448" i="3"/>
  <c r="C433" i="3"/>
  <c r="C432" i="3"/>
  <c r="C431" i="3"/>
  <c r="C430" i="3"/>
  <c r="C429" i="3"/>
  <c r="C428" i="3"/>
  <c r="C427" i="3"/>
  <c r="C426" i="3"/>
  <c r="C425" i="3"/>
  <c r="C424" i="3"/>
  <c r="A422" i="3"/>
  <c r="C420" i="3"/>
  <c r="C419" i="3"/>
  <c r="C417" i="3"/>
  <c r="C416" i="3"/>
  <c r="C415" i="3"/>
  <c r="C414" i="3"/>
  <c r="C413" i="3"/>
  <c r="C412" i="3"/>
  <c r="C411" i="3"/>
  <c r="A409" i="3"/>
  <c r="C368" i="3"/>
  <c r="C367" i="3"/>
  <c r="C365" i="3"/>
  <c r="C364" i="3"/>
  <c r="C363" i="3"/>
  <c r="C362" i="3"/>
  <c r="C361" i="3"/>
  <c r="C360" i="3"/>
  <c r="C359" i="3"/>
  <c r="C358" i="3"/>
  <c r="A356" i="3"/>
  <c r="C354" i="3"/>
  <c r="C353" i="3"/>
  <c r="C352" i="3"/>
  <c r="C351" i="3"/>
  <c r="C350" i="3"/>
  <c r="C349" i="3"/>
  <c r="C348" i="3"/>
  <c r="C347" i="3"/>
  <c r="C346" i="3"/>
  <c r="A343" i="3"/>
  <c r="C315" i="3"/>
  <c r="C314" i="3"/>
  <c r="C313" i="3"/>
  <c r="C312" i="3"/>
  <c r="C311" i="3"/>
  <c r="C310" i="3"/>
  <c r="C309" i="3"/>
  <c r="C308" i="3"/>
  <c r="C307" i="3"/>
  <c r="C306" i="3"/>
  <c r="A304" i="3"/>
  <c r="C276" i="3"/>
  <c r="C275" i="3"/>
  <c r="C274" i="3"/>
  <c r="C273" i="3"/>
  <c r="C272" i="3"/>
  <c r="C271" i="3"/>
  <c r="C270" i="3"/>
  <c r="C269" i="3"/>
  <c r="C268" i="3"/>
  <c r="C267" i="3"/>
  <c r="C263" i="3"/>
  <c r="A263" i="3"/>
  <c r="C262" i="3"/>
  <c r="A262" i="3"/>
  <c r="C261" i="3"/>
  <c r="A261" i="3"/>
  <c r="C260" i="3"/>
  <c r="A260" i="3"/>
  <c r="C259" i="3"/>
  <c r="A259" i="3"/>
  <c r="C258" i="3"/>
  <c r="A258" i="3"/>
  <c r="C257" i="3"/>
  <c r="A257" i="3"/>
  <c r="C256" i="3"/>
  <c r="A256" i="3"/>
  <c r="C255" i="3"/>
  <c r="A255" i="3"/>
  <c r="C254" i="3"/>
  <c r="A254" i="3"/>
  <c r="A252" i="3"/>
  <c r="C250" i="3"/>
  <c r="C249" i="3"/>
  <c r="C248" i="3"/>
  <c r="C247" i="3"/>
  <c r="C246" i="3"/>
  <c r="C245" i="3"/>
  <c r="C244" i="3"/>
  <c r="C243" i="3"/>
  <c r="C242" i="3"/>
  <c r="C241" i="3"/>
  <c r="A239" i="3"/>
  <c r="C237" i="3"/>
  <c r="C236" i="3"/>
  <c r="C235" i="3"/>
  <c r="C234" i="3"/>
  <c r="C233" i="3"/>
  <c r="C232" i="3"/>
  <c r="C231" i="3"/>
  <c r="C230" i="3"/>
  <c r="C229" i="3"/>
  <c r="C228" i="3"/>
  <c r="A226" i="3"/>
  <c r="C198" i="3"/>
  <c r="C197" i="3"/>
  <c r="C196" i="3"/>
  <c r="C195" i="3"/>
  <c r="C194" i="3"/>
  <c r="C193" i="3"/>
  <c r="C192" i="3"/>
  <c r="C191" i="3"/>
  <c r="C190" i="3"/>
  <c r="C189" i="3"/>
  <c r="A187" i="3"/>
  <c r="C172" i="3"/>
  <c r="C171" i="3"/>
  <c r="C170" i="3"/>
  <c r="C169" i="3"/>
  <c r="C168" i="3"/>
  <c r="C167" i="3"/>
  <c r="C166" i="3"/>
  <c r="C165" i="3"/>
  <c r="C164" i="3"/>
  <c r="C163" i="3"/>
  <c r="A161" i="3"/>
  <c r="C159" i="3"/>
  <c r="C158" i="3"/>
  <c r="C157" i="3"/>
  <c r="C156" i="3"/>
  <c r="C155" i="3"/>
  <c r="C154" i="3"/>
  <c r="C153" i="3"/>
  <c r="C152" i="3"/>
  <c r="C151" i="3"/>
  <c r="C150" i="3"/>
  <c r="A148" i="3"/>
  <c r="C133" i="3"/>
  <c r="C132" i="3"/>
  <c r="C131" i="3"/>
  <c r="C130" i="3"/>
  <c r="C129" i="3"/>
  <c r="C128" i="3"/>
  <c r="C127" i="3"/>
  <c r="C126" i="3"/>
  <c r="C125" i="3"/>
  <c r="C124" i="3"/>
  <c r="A122" i="3"/>
  <c r="C120" i="3"/>
  <c r="C118" i="3"/>
  <c r="C116" i="3"/>
  <c r="C115" i="3"/>
  <c r="C114" i="3"/>
  <c r="C113" i="3"/>
  <c r="C112" i="3"/>
  <c r="C111" i="3"/>
  <c r="A109" i="3"/>
  <c r="C107" i="3"/>
  <c r="C106" i="3"/>
  <c r="C105" i="3"/>
  <c r="C104" i="3"/>
  <c r="C103" i="3"/>
  <c r="C102" i="3"/>
  <c r="C101" i="3"/>
  <c r="C100" i="3"/>
  <c r="C99" i="3"/>
  <c r="C98" i="3"/>
  <c r="A96" i="3"/>
  <c r="C52" i="3"/>
  <c r="C51" i="3"/>
  <c r="C50" i="3"/>
  <c r="C49" i="3"/>
  <c r="C48" i="3"/>
  <c r="C47" i="3"/>
  <c r="C46" i="3"/>
  <c r="C45" i="3"/>
  <c r="C44" i="3"/>
  <c r="C43" i="3"/>
  <c r="A41" i="3"/>
  <c r="C26" i="3"/>
  <c r="C25" i="3"/>
  <c r="C24" i="3"/>
  <c r="C23" i="3"/>
  <c r="C22" i="3"/>
  <c r="C21" i="3"/>
  <c r="C20" i="3"/>
  <c r="C19" i="3"/>
  <c r="C18" i="3"/>
  <c r="C17" i="3"/>
  <c r="A15" i="3"/>
  <c r="C13" i="3"/>
  <c r="C12" i="3"/>
  <c r="C10" i="3"/>
  <c r="C9" i="3"/>
  <c r="C8" i="3"/>
  <c r="C7" i="3"/>
  <c r="C6" i="3"/>
  <c r="C5" i="3"/>
  <c r="C4" i="3"/>
  <c r="A2" i="3"/>
  <c r="C975" i="2"/>
  <c r="C974" i="2"/>
  <c r="C973" i="2"/>
  <c r="C972" i="2"/>
  <c r="C971" i="2"/>
  <c r="C970" i="2"/>
  <c r="C969" i="2"/>
  <c r="C968" i="2"/>
  <c r="C967" i="2"/>
  <c r="C966" i="2"/>
  <c r="A964" i="2"/>
  <c r="C962" i="2"/>
  <c r="C961" i="2"/>
  <c r="C960" i="2"/>
  <c r="C959" i="2"/>
  <c r="C958" i="2"/>
  <c r="C957" i="2"/>
  <c r="C956" i="2"/>
  <c r="C955" i="2"/>
  <c r="C954" i="2"/>
  <c r="C953" i="2"/>
  <c r="A951" i="2"/>
  <c r="C949" i="2"/>
  <c r="C948" i="2"/>
  <c r="C947" i="2"/>
  <c r="C946" i="2"/>
  <c r="C944" i="2"/>
  <c r="C943" i="2"/>
  <c r="C942" i="2"/>
  <c r="C941" i="2"/>
  <c r="C940" i="2"/>
  <c r="A938" i="2"/>
  <c r="C936" i="2"/>
  <c r="C935" i="2"/>
  <c r="C934" i="2"/>
  <c r="C933" i="2"/>
  <c r="C932" i="2"/>
  <c r="C931" i="2"/>
  <c r="C930" i="2"/>
  <c r="C929" i="2"/>
  <c r="C928" i="2"/>
  <c r="C927" i="2"/>
  <c r="A925" i="2"/>
  <c r="C923" i="2"/>
  <c r="A923" i="2"/>
  <c r="C922" i="2"/>
  <c r="A922" i="2"/>
  <c r="C921" i="2"/>
  <c r="A921" i="2"/>
  <c r="C920" i="2"/>
  <c r="A920" i="2"/>
  <c r="C919" i="2"/>
  <c r="A919" i="2"/>
  <c r="C918" i="2"/>
  <c r="A918" i="2"/>
  <c r="C917" i="2"/>
  <c r="A917" i="2"/>
  <c r="C916" i="2"/>
  <c r="A916" i="2"/>
  <c r="C915" i="2"/>
  <c r="A915" i="2"/>
  <c r="C914" i="2"/>
  <c r="A914" i="2"/>
  <c r="A912" i="2"/>
  <c r="C897" i="2"/>
  <c r="C896" i="2"/>
  <c r="C895" i="2"/>
  <c r="C894" i="2"/>
  <c r="C893" i="2"/>
  <c r="C892" i="2"/>
  <c r="C891" i="2"/>
  <c r="C890" i="2"/>
  <c r="C889" i="2"/>
  <c r="C888" i="2"/>
  <c r="A886" i="2"/>
  <c r="C858" i="2"/>
  <c r="C857" i="2"/>
  <c r="C856" i="2"/>
  <c r="C855" i="2"/>
  <c r="C854" i="2"/>
  <c r="C853" i="2"/>
  <c r="C852" i="2"/>
  <c r="C851" i="2"/>
  <c r="C850" i="2"/>
  <c r="C849" i="2"/>
  <c r="A847" i="2"/>
  <c r="C832" i="2"/>
  <c r="C831" i="2"/>
  <c r="C830" i="2"/>
  <c r="C829" i="2"/>
  <c r="C828" i="2"/>
  <c r="C827" i="2"/>
  <c r="C826" i="2"/>
  <c r="C825" i="2"/>
  <c r="C824" i="2"/>
  <c r="C823" i="2"/>
  <c r="A821" i="2"/>
  <c r="C819" i="2"/>
  <c r="C818" i="2"/>
  <c r="C817" i="2"/>
  <c r="C816" i="2"/>
  <c r="C815" i="2"/>
  <c r="C814" i="2"/>
  <c r="C813" i="2"/>
  <c r="C812" i="2"/>
  <c r="C811" i="2"/>
  <c r="C810" i="2"/>
  <c r="A808" i="2"/>
  <c r="C806" i="2"/>
  <c r="C805" i="2"/>
  <c r="C804" i="2"/>
  <c r="C803" i="2"/>
  <c r="C802" i="2"/>
  <c r="C801" i="2"/>
  <c r="C800" i="2"/>
  <c r="C799" i="2"/>
  <c r="C798" i="2"/>
  <c r="C797" i="2"/>
  <c r="A795" i="2"/>
  <c r="C779" i="2"/>
  <c r="A779" i="2"/>
  <c r="C777" i="2"/>
  <c r="A777" i="2"/>
  <c r="C776" i="2"/>
  <c r="A776" i="2"/>
  <c r="C775" i="2"/>
  <c r="A775" i="2"/>
  <c r="C774" i="2"/>
  <c r="A774" i="2"/>
  <c r="C773" i="2"/>
  <c r="A773" i="2"/>
  <c r="C772" i="2"/>
  <c r="A772" i="2"/>
  <c r="C771" i="2"/>
  <c r="A771" i="2"/>
  <c r="C767" i="2"/>
  <c r="C766" i="2"/>
  <c r="C765" i="2"/>
  <c r="C764" i="2"/>
  <c r="C763" i="2"/>
  <c r="C762" i="2"/>
  <c r="C761" i="2"/>
  <c r="C760" i="2"/>
  <c r="C759" i="2"/>
  <c r="C758" i="2"/>
  <c r="A756" i="2"/>
  <c r="C715" i="2"/>
  <c r="C714" i="2"/>
  <c r="C713" i="2"/>
  <c r="C712" i="2"/>
  <c r="C711" i="2"/>
  <c r="C710" i="2"/>
  <c r="C709" i="2"/>
  <c r="C708" i="2"/>
  <c r="C707" i="2"/>
  <c r="C706" i="2"/>
  <c r="A704" i="2"/>
  <c r="C702" i="2"/>
  <c r="C701" i="2"/>
  <c r="C700" i="2"/>
  <c r="C699" i="2"/>
  <c r="C698" i="2"/>
  <c r="C697" i="2"/>
  <c r="C696" i="2"/>
  <c r="C695" i="2"/>
  <c r="C694" i="2"/>
  <c r="C693" i="2"/>
  <c r="A691" i="2"/>
  <c r="C689" i="2"/>
  <c r="C688" i="2"/>
  <c r="C687" i="2"/>
  <c r="C686" i="2"/>
  <c r="C685" i="2"/>
  <c r="C684" i="2"/>
  <c r="C682" i="2"/>
  <c r="C681" i="2"/>
  <c r="C680" i="2"/>
  <c r="A678" i="2"/>
  <c r="C676" i="2"/>
  <c r="C675" i="2"/>
  <c r="C674" i="2"/>
  <c r="C673" i="2"/>
  <c r="C672" i="2"/>
  <c r="C671" i="2"/>
  <c r="C670" i="2"/>
  <c r="C669" i="2"/>
  <c r="C668" i="2"/>
  <c r="C667" i="2"/>
  <c r="A665" i="2"/>
  <c r="C663" i="2"/>
  <c r="C662" i="2"/>
  <c r="C661" i="2"/>
  <c r="C660" i="2"/>
  <c r="C659" i="2"/>
  <c r="C658" i="2"/>
  <c r="C657" i="2"/>
  <c r="C656" i="2"/>
  <c r="C655" i="2"/>
  <c r="C654" i="2"/>
  <c r="A652" i="2"/>
  <c r="C650" i="2"/>
  <c r="C649" i="2"/>
  <c r="C648" i="2"/>
  <c r="C647" i="2"/>
  <c r="C646" i="2"/>
  <c r="C645" i="2"/>
  <c r="C644" i="2"/>
  <c r="C643" i="2"/>
  <c r="C642" i="2"/>
  <c r="C641" i="2"/>
  <c r="A639" i="2"/>
  <c r="C611" i="2"/>
  <c r="C610" i="2"/>
  <c r="C609" i="2"/>
  <c r="C608" i="2"/>
  <c r="C607" i="2"/>
  <c r="C606" i="2"/>
  <c r="C605" i="2"/>
  <c r="C604" i="2"/>
  <c r="C603" i="2"/>
  <c r="C602" i="2"/>
  <c r="A600" i="2"/>
  <c r="C572" i="2"/>
  <c r="C571" i="2"/>
  <c r="C570" i="2"/>
  <c r="C569" i="2"/>
  <c r="C568" i="2"/>
  <c r="C567" i="2"/>
  <c r="C566" i="2"/>
  <c r="C565" i="2"/>
  <c r="C564" i="2"/>
  <c r="C563" i="2"/>
  <c r="A561" i="2"/>
  <c r="C559" i="2"/>
  <c r="C558" i="2"/>
  <c r="C557" i="2"/>
  <c r="C556" i="2"/>
  <c r="C555" i="2"/>
  <c r="C554" i="2"/>
  <c r="C553" i="2"/>
  <c r="C552" i="2"/>
  <c r="C551" i="2"/>
  <c r="C550" i="2"/>
  <c r="C546" i="2"/>
  <c r="C545" i="2"/>
  <c r="C544" i="2"/>
  <c r="C543" i="2"/>
  <c r="C542" i="2"/>
  <c r="C541" i="2"/>
  <c r="C540" i="2"/>
  <c r="C539" i="2"/>
  <c r="C538" i="2"/>
  <c r="C537" i="2"/>
  <c r="A535" i="2"/>
  <c r="C533" i="2"/>
  <c r="A533" i="2"/>
  <c r="C532" i="2"/>
  <c r="A532" i="2"/>
  <c r="C531" i="2"/>
  <c r="A531" i="2"/>
  <c r="C530" i="2"/>
  <c r="A530" i="2"/>
  <c r="C529" i="2"/>
  <c r="A529" i="2"/>
  <c r="C528" i="2"/>
  <c r="A528" i="2"/>
  <c r="C527" i="2"/>
  <c r="A527" i="2"/>
  <c r="C526" i="2"/>
  <c r="A526" i="2"/>
  <c r="C525" i="2"/>
  <c r="A525" i="2"/>
  <c r="C524" i="2"/>
  <c r="A524" i="2"/>
  <c r="A522" i="2"/>
  <c r="C494" i="2"/>
  <c r="C493" i="2"/>
  <c r="C492" i="2"/>
  <c r="C491" i="2"/>
  <c r="C490" i="2"/>
  <c r="C489" i="2"/>
  <c r="C488" i="2"/>
  <c r="C487" i="2"/>
  <c r="C486" i="2"/>
  <c r="C485" i="2"/>
  <c r="A483" i="2"/>
  <c r="C481" i="2"/>
  <c r="C480" i="2"/>
  <c r="C479" i="2"/>
  <c r="C478" i="2"/>
  <c r="C477" i="2"/>
  <c r="C476" i="2"/>
  <c r="C475" i="2"/>
  <c r="C474" i="2"/>
  <c r="C473" i="2"/>
  <c r="C472" i="2"/>
  <c r="A470" i="2"/>
  <c r="C455" i="2"/>
  <c r="C454" i="2"/>
  <c r="C453" i="2"/>
  <c r="C452" i="2"/>
  <c r="C451" i="2"/>
  <c r="C450" i="2"/>
  <c r="C449" i="2"/>
  <c r="C448" i="2"/>
  <c r="C447" i="2"/>
  <c r="C446" i="2"/>
  <c r="A444" i="2"/>
  <c r="C429" i="2"/>
  <c r="C428" i="2"/>
  <c r="C427" i="2"/>
  <c r="C426" i="2"/>
  <c r="C425" i="2"/>
  <c r="C424" i="2"/>
  <c r="C423" i="2"/>
  <c r="C422" i="2"/>
  <c r="C421" i="2"/>
  <c r="C420" i="2"/>
  <c r="A418" i="2"/>
  <c r="C416" i="2"/>
  <c r="C415" i="2"/>
  <c r="C414" i="2"/>
  <c r="C413" i="2"/>
  <c r="C412" i="2"/>
  <c r="C411" i="2"/>
  <c r="C410" i="2"/>
  <c r="C409" i="2"/>
  <c r="C408" i="2"/>
  <c r="C407" i="2"/>
  <c r="A405" i="2"/>
  <c r="C325" i="2"/>
  <c r="C324" i="2"/>
  <c r="C323" i="2"/>
  <c r="C322" i="2"/>
  <c r="C321" i="2"/>
  <c r="C320" i="2"/>
  <c r="C319" i="2"/>
  <c r="C318" i="2"/>
  <c r="C317" i="2"/>
  <c r="C316" i="2"/>
  <c r="A314" i="2"/>
  <c r="C273" i="2"/>
  <c r="A273" i="2"/>
  <c r="C272" i="2"/>
  <c r="A272" i="2"/>
  <c r="C271" i="2"/>
  <c r="A271" i="2"/>
  <c r="C270" i="2"/>
  <c r="A270" i="2"/>
  <c r="C269" i="2"/>
  <c r="A269" i="2"/>
  <c r="C268" i="2"/>
  <c r="A268" i="2"/>
  <c r="C267" i="2"/>
  <c r="A267" i="2"/>
  <c r="C266" i="2"/>
  <c r="A266" i="2"/>
  <c r="C265" i="2"/>
  <c r="A265" i="2"/>
  <c r="C264" i="2"/>
  <c r="A264" i="2"/>
  <c r="A262" i="2"/>
  <c r="C247" i="2"/>
  <c r="C246" i="2"/>
  <c r="C245" i="2"/>
  <c r="C244" i="2"/>
  <c r="C243" i="2"/>
  <c r="C242" i="2"/>
  <c r="C241" i="2"/>
  <c r="C240" i="2"/>
  <c r="C239" i="2"/>
  <c r="C238" i="2"/>
  <c r="A236" i="2"/>
  <c r="C234" i="2"/>
  <c r="C233" i="2"/>
  <c r="C232" i="2"/>
  <c r="C231" i="2"/>
  <c r="C230" i="2"/>
  <c r="C229" i="2"/>
  <c r="C228" i="2"/>
  <c r="C227" i="2"/>
  <c r="C226" i="2"/>
  <c r="C225" i="2"/>
  <c r="A223" i="2"/>
  <c r="C221" i="2"/>
  <c r="C220" i="2"/>
  <c r="C219" i="2"/>
  <c r="C218" i="2"/>
  <c r="C217" i="2"/>
  <c r="C216" i="2"/>
  <c r="C215" i="2"/>
  <c r="C214" i="2"/>
  <c r="C213" i="2"/>
  <c r="C212" i="2"/>
  <c r="A210" i="2"/>
  <c r="C208" i="2"/>
  <c r="C207" i="2"/>
  <c r="C206" i="2"/>
  <c r="C205" i="2"/>
  <c r="C204" i="2"/>
  <c r="C203" i="2"/>
  <c r="C202" i="2"/>
  <c r="C201" i="2"/>
  <c r="C200" i="2"/>
  <c r="C199" i="2"/>
  <c r="A197" i="2"/>
  <c r="C182" i="2"/>
  <c r="C181" i="2"/>
  <c r="C180" i="2"/>
  <c r="C179" i="2"/>
  <c r="C178" i="2"/>
  <c r="C177" i="2"/>
  <c r="C176" i="2"/>
  <c r="C175" i="2"/>
  <c r="C174" i="2"/>
  <c r="C173" i="2"/>
  <c r="A171" i="2"/>
  <c r="C156" i="2"/>
  <c r="C155" i="2"/>
  <c r="C154" i="2"/>
  <c r="C153" i="2"/>
  <c r="C152" i="2"/>
  <c r="C151" i="2"/>
  <c r="C150" i="2"/>
  <c r="C149" i="2"/>
  <c r="C148" i="2"/>
  <c r="C147" i="2"/>
  <c r="A145" i="2"/>
  <c r="C104" i="2"/>
  <c r="C103" i="2"/>
  <c r="C102" i="2"/>
  <c r="C101" i="2"/>
  <c r="C100" i="2"/>
  <c r="C99" i="2"/>
  <c r="C98" i="2"/>
  <c r="C97" i="2"/>
  <c r="C96" i="2"/>
  <c r="C95" i="2"/>
  <c r="A93" i="2"/>
  <c r="C78" i="2"/>
  <c r="C77" i="2"/>
  <c r="C76" i="2"/>
  <c r="C75" i="2"/>
  <c r="C74" i="2"/>
  <c r="C73" i="2"/>
  <c r="C72" i="2"/>
  <c r="C71" i="2"/>
  <c r="C70" i="2"/>
  <c r="C69" i="2"/>
  <c r="A67" i="2"/>
  <c r="C65" i="2"/>
  <c r="C64" i="2"/>
  <c r="C63" i="2"/>
  <c r="C62" i="2"/>
  <c r="C61" i="2"/>
  <c r="C60" i="2"/>
  <c r="C59" i="2"/>
  <c r="C58" i="2"/>
  <c r="C57" i="2"/>
  <c r="C56" i="2"/>
  <c r="A54" i="2"/>
  <c r="C39" i="2"/>
  <c r="C38" i="2"/>
  <c r="C37" i="2"/>
  <c r="C36" i="2"/>
  <c r="C35" i="2"/>
  <c r="C34" i="2"/>
  <c r="C33" i="2"/>
  <c r="C32" i="2"/>
  <c r="C31" i="2"/>
  <c r="C30" i="2"/>
  <c r="A28" i="2"/>
  <c r="C26" i="2"/>
  <c r="C25" i="2"/>
  <c r="C24" i="2"/>
  <c r="C23" i="2"/>
  <c r="C22" i="2"/>
  <c r="C21" i="2"/>
  <c r="C20" i="2"/>
  <c r="C19" i="2"/>
  <c r="C18" i="2"/>
  <c r="C17" i="2"/>
  <c r="A15" i="2"/>
  <c r="C13" i="2"/>
  <c r="C12" i="2"/>
  <c r="C11" i="2"/>
  <c r="C10" i="2"/>
  <c r="C9" i="2"/>
  <c r="C8" i="2"/>
  <c r="C7" i="2"/>
  <c r="C6" i="2"/>
  <c r="C5" i="2"/>
  <c r="C4" i="2"/>
  <c r="A2" i="2"/>
  <c r="C731" i="1"/>
  <c r="A731" i="1"/>
  <c r="C730" i="1"/>
  <c r="A730" i="1"/>
  <c r="C729" i="1"/>
  <c r="A729" i="1"/>
  <c r="C728" i="1"/>
  <c r="A728" i="1"/>
  <c r="C727" i="1"/>
  <c r="A727" i="1"/>
  <c r="C726" i="1"/>
  <c r="A726" i="1"/>
  <c r="C725" i="1"/>
  <c r="A725" i="1"/>
  <c r="C724" i="1"/>
  <c r="A724" i="1"/>
  <c r="C723" i="1"/>
  <c r="A723" i="1"/>
  <c r="C722" i="1"/>
  <c r="A722" i="1"/>
  <c r="A720" i="1"/>
  <c r="C718" i="1"/>
  <c r="C717" i="1"/>
  <c r="C716" i="1"/>
  <c r="C715" i="1"/>
  <c r="C714" i="1"/>
  <c r="C713" i="1"/>
  <c r="C712" i="1"/>
  <c r="C711" i="1"/>
  <c r="C710" i="1"/>
  <c r="C709" i="1"/>
  <c r="A707" i="1"/>
  <c r="C705" i="1"/>
  <c r="C704" i="1"/>
  <c r="C703" i="1"/>
  <c r="C702" i="1"/>
  <c r="C701" i="1"/>
  <c r="C700" i="1"/>
  <c r="C699" i="1"/>
  <c r="C698" i="1"/>
  <c r="C697" i="1"/>
  <c r="C696" i="1"/>
  <c r="A694" i="1"/>
  <c r="C666" i="1"/>
  <c r="C665" i="1"/>
  <c r="A665" i="1"/>
  <c r="C664" i="1"/>
  <c r="A664" i="1"/>
  <c r="C663" i="1"/>
  <c r="A663" i="1"/>
  <c r="C662" i="1"/>
  <c r="A662" i="1"/>
  <c r="C661" i="1"/>
  <c r="A661" i="1"/>
  <c r="C660" i="1"/>
  <c r="A660" i="1"/>
  <c r="C659" i="1"/>
  <c r="A659" i="1"/>
  <c r="C658" i="1"/>
  <c r="A658" i="1"/>
  <c r="C657" i="1"/>
  <c r="A657" i="1"/>
  <c r="A655" i="1"/>
  <c r="C640" i="1"/>
  <c r="C639" i="1"/>
  <c r="C638" i="1"/>
  <c r="C637" i="1"/>
  <c r="C636" i="1"/>
  <c r="C635" i="1"/>
  <c r="C634" i="1"/>
  <c r="C633" i="1"/>
  <c r="C632" i="1"/>
  <c r="C631" i="1"/>
  <c r="A629" i="1"/>
  <c r="C627" i="1"/>
  <c r="A627" i="1"/>
  <c r="C626" i="1"/>
  <c r="A626" i="1"/>
  <c r="C625" i="1"/>
  <c r="A625" i="1"/>
  <c r="C624" i="1"/>
  <c r="A624" i="1"/>
  <c r="C623" i="1"/>
  <c r="A623" i="1"/>
  <c r="C622" i="1"/>
  <c r="A622" i="1"/>
  <c r="C621" i="1"/>
  <c r="A621" i="1"/>
  <c r="C620" i="1"/>
  <c r="A620" i="1"/>
  <c r="C619" i="1"/>
  <c r="C618" i="1"/>
  <c r="A618" i="1"/>
  <c r="A616" i="1"/>
  <c r="C614" i="1"/>
  <c r="C613" i="1"/>
  <c r="C612" i="1"/>
  <c r="C611" i="1"/>
  <c r="C610" i="1"/>
  <c r="C609" i="1"/>
  <c r="C608" i="1"/>
  <c r="C607" i="1"/>
  <c r="C606" i="1"/>
  <c r="C605" i="1"/>
  <c r="A603" i="1"/>
  <c r="C601" i="1"/>
  <c r="C600" i="1"/>
  <c r="C599" i="1"/>
  <c r="C598" i="1"/>
  <c r="C597" i="1"/>
  <c r="C596" i="1"/>
  <c r="C595" i="1"/>
  <c r="C594" i="1"/>
  <c r="C593" i="1"/>
  <c r="C592" i="1"/>
  <c r="A590" i="1"/>
  <c r="C588" i="1"/>
  <c r="C587" i="1"/>
  <c r="C586" i="1"/>
  <c r="C585" i="1"/>
  <c r="C584" i="1"/>
  <c r="C583" i="1"/>
  <c r="C582" i="1"/>
  <c r="C581" i="1"/>
  <c r="C580" i="1"/>
  <c r="C579" i="1"/>
  <c r="A577" i="1"/>
  <c r="C575" i="1"/>
  <c r="C574" i="1"/>
  <c r="C573" i="1"/>
  <c r="C572" i="1"/>
  <c r="C571" i="1"/>
  <c r="C570" i="1"/>
  <c r="C569" i="1"/>
  <c r="C568" i="1"/>
  <c r="C567" i="1"/>
  <c r="C566" i="1"/>
  <c r="A564" i="1"/>
  <c r="C562" i="1"/>
  <c r="A562" i="1"/>
  <c r="C561" i="1"/>
  <c r="A561" i="1"/>
  <c r="C560" i="1"/>
  <c r="A560" i="1"/>
  <c r="C559" i="1"/>
  <c r="A559" i="1"/>
  <c r="C558" i="1"/>
  <c r="A558" i="1"/>
  <c r="C557" i="1"/>
  <c r="A557" i="1"/>
  <c r="C556" i="1"/>
  <c r="A556" i="1"/>
  <c r="C555" i="1"/>
  <c r="A555" i="1"/>
  <c r="C554" i="1"/>
  <c r="A554" i="1"/>
  <c r="C553" i="1"/>
  <c r="A553" i="1"/>
  <c r="A551" i="1"/>
  <c r="C549" i="1"/>
  <c r="A549" i="1"/>
  <c r="C548" i="1"/>
  <c r="A548" i="1"/>
  <c r="C547" i="1"/>
  <c r="A547" i="1"/>
  <c r="C546" i="1"/>
  <c r="A546" i="1"/>
  <c r="C545" i="1"/>
  <c r="A545" i="1"/>
  <c r="C544" i="1"/>
  <c r="A544" i="1"/>
  <c r="C543" i="1"/>
  <c r="A543" i="1"/>
  <c r="C542" i="1"/>
  <c r="A542" i="1"/>
  <c r="C541" i="1"/>
  <c r="A541" i="1"/>
  <c r="C540" i="1"/>
  <c r="A540" i="1"/>
  <c r="A538" i="1"/>
  <c r="C523" i="1"/>
  <c r="C522" i="1"/>
  <c r="C521" i="1"/>
  <c r="C520" i="1"/>
  <c r="C519" i="1"/>
  <c r="C518" i="1"/>
  <c r="C517" i="1"/>
  <c r="C516" i="1"/>
  <c r="C515" i="1"/>
  <c r="C514" i="1"/>
  <c r="A512" i="1"/>
  <c r="C484" i="1"/>
  <c r="C483" i="1"/>
  <c r="C482" i="1"/>
  <c r="C481" i="1"/>
  <c r="C480" i="1"/>
  <c r="C479" i="1"/>
  <c r="C478" i="1"/>
  <c r="C477" i="1"/>
  <c r="C476" i="1"/>
  <c r="C475" i="1"/>
  <c r="A473" i="1"/>
  <c r="C451" i="1"/>
  <c r="C449" i="1"/>
  <c r="C448" i="1"/>
  <c r="C447" i="1"/>
  <c r="C446" i="1"/>
  <c r="A444" i="1"/>
  <c r="C429" i="1"/>
  <c r="C428" i="1"/>
  <c r="C427" i="1"/>
  <c r="C426" i="1"/>
  <c r="C425" i="1"/>
  <c r="C424" i="1"/>
  <c r="C423" i="1"/>
  <c r="C422" i="1"/>
  <c r="C421" i="1"/>
  <c r="C420" i="1"/>
  <c r="A418" i="1"/>
  <c r="C377" i="1"/>
  <c r="C376" i="1"/>
  <c r="C375" i="1"/>
  <c r="C374" i="1"/>
  <c r="C373" i="1"/>
  <c r="C372" i="1"/>
  <c r="C371" i="1"/>
  <c r="C370" i="1"/>
  <c r="C369" i="1"/>
  <c r="C368" i="1"/>
  <c r="C364" i="1"/>
  <c r="C363" i="1"/>
  <c r="C362" i="1"/>
  <c r="C361" i="1"/>
  <c r="C360" i="1"/>
  <c r="C359" i="1"/>
  <c r="C358" i="1"/>
  <c r="C357" i="1"/>
  <c r="C356" i="1"/>
  <c r="C355" i="1"/>
  <c r="A353" i="1"/>
  <c r="C351" i="1"/>
  <c r="C350" i="1"/>
  <c r="C349" i="1"/>
  <c r="C348" i="1"/>
  <c r="C347" i="1"/>
  <c r="C346" i="1"/>
  <c r="C345" i="1"/>
  <c r="C344" i="1"/>
  <c r="C343" i="1"/>
  <c r="C342" i="1"/>
  <c r="A340" i="1"/>
  <c r="C325" i="1"/>
  <c r="C324" i="1"/>
  <c r="C323" i="1"/>
  <c r="C322" i="1"/>
  <c r="C321" i="1"/>
  <c r="C320" i="1"/>
  <c r="C319" i="1"/>
  <c r="C318" i="1"/>
  <c r="C317" i="1"/>
  <c r="C316" i="1"/>
  <c r="A314" i="1"/>
  <c r="C299" i="1"/>
  <c r="C298" i="1"/>
  <c r="C297" i="1"/>
  <c r="C296" i="1"/>
  <c r="C295" i="1"/>
  <c r="C294" i="1"/>
  <c r="C293" i="1"/>
  <c r="C292" i="1"/>
  <c r="C291" i="1"/>
  <c r="C290" i="1"/>
  <c r="A288" i="1"/>
  <c r="C286" i="1"/>
  <c r="C285" i="1"/>
  <c r="C284" i="1"/>
  <c r="C283" i="1"/>
  <c r="C282" i="1"/>
  <c r="C281" i="1"/>
  <c r="C280" i="1"/>
  <c r="C279" i="1"/>
  <c r="C278" i="1"/>
  <c r="C277" i="1"/>
  <c r="A275" i="1"/>
  <c r="C260" i="1"/>
  <c r="C259" i="1"/>
  <c r="C258" i="1"/>
  <c r="C257" i="1"/>
  <c r="C256" i="1"/>
  <c r="C255" i="1"/>
  <c r="C254" i="1"/>
  <c r="C253" i="1"/>
  <c r="C252" i="1"/>
  <c r="C251" i="1"/>
  <c r="A249" i="1"/>
  <c r="C247" i="1"/>
  <c r="C246" i="1"/>
  <c r="C245" i="1"/>
  <c r="C244" i="1"/>
  <c r="C243" i="1"/>
  <c r="C242" i="1"/>
  <c r="C241" i="1"/>
  <c r="C240" i="1"/>
  <c r="C239" i="1"/>
  <c r="C238" i="1"/>
  <c r="A236" i="1"/>
  <c r="C234" i="1"/>
  <c r="C233" i="1"/>
  <c r="C232" i="1"/>
  <c r="C231" i="1"/>
  <c r="C230" i="1"/>
  <c r="C229" i="1"/>
  <c r="C228" i="1"/>
  <c r="C227" i="1"/>
  <c r="C226" i="1"/>
  <c r="C225" i="1"/>
  <c r="A223" i="1"/>
  <c r="C195" i="1"/>
  <c r="C194" i="1"/>
  <c r="C193" i="1"/>
  <c r="C192" i="1"/>
  <c r="C191" i="1"/>
  <c r="C190" i="1"/>
  <c r="C189" i="1"/>
  <c r="C188" i="1"/>
  <c r="C187" i="1"/>
  <c r="C186" i="1"/>
  <c r="A184" i="1"/>
  <c r="C169" i="1"/>
  <c r="C168" i="1"/>
  <c r="C167" i="1"/>
  <c r="C166" i="1"/>
  <c r="C165" i="1"/>
  <c r="C164" i="1"/>
  <c r="C163" i="1"/>
  <c r="C162" i="1"/>
  <c r="C161" i="1"/>
  <c r="C160" i="1"/>
  <c r="A158" i="1"/>
  <c r="C156" i="1"/>
  <c r="C155" i="1"/>
  <c r="C154" i="1"/>
  <c r="C153" i="1"/>
  <c r="C152" i="1"/>
  <c r="C151" i="1"/>
  <c r="C150" i="1"/>
  <c r="C149" i="1"/>
  <c r="C148" i="1"/>
  <c r="C147" i="1"/>
  <c r="A145" i="1"/>
  <c r="C130" i="1"/>
  <c r="C129" i="1"/>
  <c r="C128" i="1"/>
  <c r="C127" i="1"/>
  <c r="C126" i="1"/>
  <c r="C125" i="1"/>
  <c r="C124" i="1"/>
  <c r="C123" i="1"/>
  <c r="C122" i="1"/>
  <c r="C121" i="1"/>
  <c r="A119" i="1"/>
  <c r="C104" i="1"/>
  <c r="C103" i="1"/>
  <c r="C102" i="1"/>
  <c r="C101" i="1"/>
  <c r="C100" i="1"/>
  <c r="C99" i="1"/>
  <c r="C98" i="1"/>
  <c r="C97" i="1"/>
  <c r="C96" i="1"/>
  <c r="C95" i="1"/>
  <c r="C91" i="1"/>
  <c r="C90" i="1"/>
  <c r="C89" i="1"/>
  <c r="C88" i="1"/>
  <c r="C85" i="1"/>
  <c r="C84" i="1"/>
  <c r="C83" i="1"/>
  <c r="A80" i="1"/>
  <c r="C65" i="1"/>
  <c r="C64" i="1"/>
  <c r="C63" i="1"/>
  <c r="C62" i="1"/>
  <c r="C61" i="1"/>
  <c r="C60" i="1"/>
  <c r="C59" i="1"/>
  <c r="C58" i="1"/>
  <c r="C57" i="1"/>
  <c r="C56" i="1"/>
  <c r="A54" i="1"/>
  <c r="C52" i="1"/>
  <c r="C51" i="1"/>
  <c r="C50" i="1"/>
  <c r="C49" i="1"/>
  <c r="C48" i="1"/>
  <c r="C47" i="1"/>
  <c r="C46" i="1"/>
  <c r="C45" i="1"/>
  <c r="C44" i="1"/>
  <c r="C43" i="1"/>
  <c r="A41" i="1"/>
</calcChain>
</file>

<file path=xl/sharedStrings.xml><?xml version="1.0" encoding="utf-8"?>
<sst xmlns="http://schemas.openxmlformats.org/spreadsheetml/2006/main" count="6755" uniqueCount="3998">
  <si>
    <t>The 1975</t>
  </si>
  <si>
    <t>Spotify</t>
  </si>
  <si>
    <t>Song</t>
  </si>
  <si>
    <t>Total Points</t>
  </si>
  <si>
    <t>Album</t>
  </si>
  <si>
    <t>Release Year</t>
  </si>
  <si>
    <t>Love It If We Made It</t>
  </si>
  <si>
    <t>A Brief Inquiry into Online Relationships</t>
  </si>
  <si>
    <t>Sex</t>
  </si>
  <si>
    <t>It's Not Living (If It's Not With You)</t>
  </si>
  <si>
    <t>Somebody Else</t>
  </si>
  <si>
    <t>I Like It When You Sleep, for You Are So Beautiful yet So Unaware of It</t>
  </si>
  <si>
    <t>Robbers</t>
  </si>
  <si>
    <t>If You're Too Shy (Let Me Know)</t>
  </si>
  <si>
    <t>Notes on a Conditional Form</t>
  </si>
  <si>
    <t>Give Yourself a Try</t>
  </si>
  <si>
    <t>I Always Wanna Die (Sometimes)</t>
  </si>
  <si>
    <t>Me &amp; You Together Song</t>
  </si>
  <si>
    <t>Sincerity is Scary</t>
  </si>
  <si>
    <t>Adrianne Lenker</t>
  </si>
  <si>
    <t>Anything</t>
  </si>
  <si>
    <t>Songs</t>
  </si>
  <si>
    <t>Not a Lot, Just Forever</t>
  </si>
  <si>
    <t>Ingydar</t>
  </si>
  <si>
    <t>Zombie Girl</t>
  </si>
  <si>
    <t>Two Reverse</t>
  </si>
  <si>
    <t>Symbol</t>
  </si>
  <si>
    <t>Abysskiss</t>
  </si>
  <si>
    <t>Terminal Paradise</t>
  </si>
  <si>
    <t>Indiana</t>
  </si>
  <si>
    <t>Hours Were the Birds</t>
  </si>
  <si>
    <t>From</t>
  </si>
  <si>
    <t>Dragon Eyes</t>
  </si>
  <si>
    <t>Alex G</t>
  </si>
  <si>
    <t>Runner</t>
  </si>
  <si>
    <t>God Save the Animals</t>
  </si>
  <si>
    <t>Gretel</t>
  </si>
  <si>
    <t>House of Sugar</t>
  </si>
  <si>
    <t>Bobby</t>
  </si>
  <si>
    <t>Rocket</t>
  </si>
  <si>
    <t>Southern Sky</t>
  </si>
  <si>
    <t>Snot</t>
  </si>
  <si>
    <t>Beach Music</t>
  </si>
  <si>
    <t>Sportstar</t>
  </si>
  <si>
    <t>Forever</t>
  </si>
  <si>
    <t>Trick</t>
  </si>
  <si>
    <t>Sarah</t>
  </si>
  <si>
    <t>Powerful Man</t>
  </si>
  <si>
    <t>In My Arms</t>
  </si>
  <si>
    <t>Taro</t>
  </si>
  <si>
    <t>Breezeblocks</t>
  </si>
  <si>
    <t>Tessellate</t>
  </si>
  <si>
    <t>Something Good</t>
  </si>
  <si>
    <t>3WW</t>
  </si>
  <si>
    <t>Dissolve Me</t>
  </si>
  <si>
    <t>Every Other Freckle</t>
  </si>
  <si>
    <t>In Cold Blood</t>
  </si>
  <si>
    <t>Matilda</t>
  </si>
  <si>
    <t>Fitzpleasure</t>
  </si>
  <si>
    <t>In Undertow</t>
  </si>
  <si>
    <t>Archie, Marry Me</t>
  </si>
  <si>
    <t>Adult Diversion</t>
  </si>
  <si>
    <t>Dreams Tonite</t>
  </si>
  <si>
    <t>Party Police</t>
  </si>
  <si>
    <t>Saved by a Waif</t>
  </si>
  <si>
    <t>Atop a Cake</t>
  </si>
  <si>
    <t>Not My Baby</t>
  </si>
  <si>
    <t>Plimsoll Punks</t>
  </si>
  <si>
    <t>Next of Kin</t>
  </si>
  <si>
    <t>American Football</t>
  </si>
  <si>
    <t>Never Meant</t>
  </si>
  <si>
    <t>Stay Home</t>
  </si>
  <si>
    <t>Honestly?</t>
  </si>
  <si>
    <t>The Summer Ends</t>
  </si>
  <si>
    <t>Uncomfortably Numb</t>
  </si>
  <si>
    <t>American Football [LP3]</t>
  </si>
  <si>
    <t>Silhouettes</t>
  </si>
  <si>
    <t>The One With the Wurlitzer</t>
  </si>
  <si>
    <t>But the Regrets are Killing Me</t>
  </si>
  <si>
    <t>For Sure</t>
  </si>
  <si>
    <t>Tables and Chairs</t>
  </si>
  <si>
    <t>Armchairs</t>
  </si>
  <si>
    <t>Pulaski at Night</t>
  </si>
  <si>
    <t>Scythian Empires</t>
  </si>
  <si>
    <t>Fake Palindromes</t>
  </si>
  <si>
    <t>A Nervous Tic Motion of the Head to the Left</t>
  </si>
  <si>
    <t>Roma Fade</t>
  </si>
  <si>
    <t>Manifest</t>
  </si>
  <si>
    <t>Orpheo Looks Back</t>
  </si>
  <si>
    <t>People II: The Reckoning</t>
  </si>
  <si>
    <t>Big Bird</t>
  </si>
  <si>
    <t>Brave As a Noun</t>
  </si>
  <si>
    <t>People</t>
  </si>
  <si>
    <t>Rejoice</t>
  </si>
  <si>
    <t>Personal Space Invader</t>
  </si>
  <si>
    <t>Survival Song</t>
  </si>
  <si>
    <t>Love in the Time of Human Papillomavirus</t>
  </si>
  <si>
    <t>Linda Ronstadt</t>
  </si>
  <si>
    <t>...And You Will Know Us by the Trail of Dead</t>
  </si>
  <si>
    <t>Another Morning Stoner</t>
  </si>
  <si>
    <t>Source Tags &amp; Codes</t>
  </si>
  <si>
    <t>Relative Ways</t>
  </si>
  <si>
    <t>How Near, How Far</t>
  </si>
  <si>
    <t>Will You Smile Again for Me</t>
  </si>
  <si>
    <t>Worlds Apart</t>
  </si>
  <si>
    <t>Mistakes and Regrets</t>
  </si>
  <si>
    <t>Madonna</t>
  </si>
  <si>
    <t>It Was There That I Saw You</t>
  </si>
  <si>
    <t>Isis Unveiled</t>
  </si>
  <si>
    <t>The Century of Self</t>
  </si>
  <si>
    <t>The Rest Will Follow</t>
  </si>
  <si>
    <t>Sister</t>
  </si>
  <si>
    <t>Shut Up, Kiss Me</t>
  </si>
  <si>
    <t>Lark</t>
  </si>
  <si>
    <t>Chance</t>
  </si>
  <si>
    <t>All Mirrors</t>
  </si>
  <si>
    <t>Windows</t>
  </si>
  <si>
    <t>Unfucktheworld</t>
  </si>
  <si>
    <t>Woman</t>
  </si>
  <si>
    <t>Never Be Mine</t>
  </si>
  <si>
    <t>Hi-Five</t>
  </si>
  <si>
    <t>Animal Collective</t>
  </si>
  <si>
    <t>Fireworks</t>
  </si>
  <si>
    <t>Strawberry Jam</t>
  </si>
  <si>
    <t>Banshee Beat</t>
  </si>
  <si>
    <t>Feels</t>
  </si>
  <si>
    <t>For Reverend Green</t>
  </si>
  <si>
    <t>The Purple Bottle</t>
  </si>
  <si>
    <t>What Would I Want? Sky</t>
  </si>
  <si>
    <t>Fall Be Kind</t>
  </si>
  <si>
    <t>Did You See the Words</t>
  </si>
  <si>
    <t>Brother Sport</t>
  </si>
  <si>
    <t>Merriweather Post Pavilion</t>
  </si>
  <si>
    <t>In the Flowers</t>
  </si>
  <si>
    <t>Bluish</t>
  </si>
  <si>
    <t>My Girls</t>
  </si>
  <si>
    <t>Two</t>
  </si>
  <si>
    <t xml:space="preserve">Epilogue </t>
  </si>
  <si>
    <t>Kettering</t>
  </si>
  <si>
    <t>Putting the Dog to Sleep</t>
  </si>
  <si>
    <t>Bear</t>
  </si>
  <si>
    <t>Wake</t>
  </si>
  <si>
    <t>Sylvia</t>
  </si>
  <si>
    <t>I Don't Want Love</t>
  </si>
  <si>
    <t>Parade</t>
  </si>
  <si>
    <t>Palace</t>
  </si>
  <si>
    <t>Windowlicker</t>
  </si>
  <si>
    <t>Xtal</t>
  </si>
  <si>
    <t>Alberto Balsalm</t>
  </si>
  <si>
    <t>Fingerbib</t>
  </si>
  <si>
    <t>Flim</t>
  </si>
  <si>
    <t>Avril 14th</t>
  </si>
  <si>
    <t>minipops 67</t>
  </si>
  <si>
    <t>Heliosphan</t>
  </si>
  <si>
    <t>The Apples in Stereo</t>
  </si>
  <si>
    <t>Tidal Wave</t>
  </si>
  <si>
    <t>Fun Trick Noisemaker</t>
  </si>
  <si>
    <t>Glowworm</t>
  </si>
  <si>
    <t>Energy</t>
  </si>
  <si>
    <t>New Magnetic Wonder</t>
  </si>
  <si>
    <t>Ruby</t>
  </si>
  <si>
    <t>Her Wallpaper Reverie</t>
  </si>
  <si>
    <t>Questions and Answers</t>
  </si>
  <si>
    <t>Pine Away</t>
  </si>
  <si>
    <t>The Silvery Light of a Dream Pt. 2</t>
  </si>
  <si>
    <t>Tone Soul Evolution</t>
  </si>
  <si>
    <t>Strawberryfire</t>
  </si>
  <si>
    <t>She's Just Like Me / Taking Time</t>
  </si>
  <si>
    <t>Benefits of Lying (With Your Friend)</t>
  </si>
  <si>
    <t>Neighborhood #1 (Tunnels)</t>
  </si>
  <si>
    <t>Sprawl II (Mountains Beyond Mountains)</t>
  </si>
  <si>
    <t>Rebellion (Lies)</t>
  </si>
  <si>
    <t>Wake Up</t>
  </si>
  <si>
    <t>The Suburbs</t>
  </si>
  <si>
    <t>Afterlife</t>
  </si>
  <si>
    <t>Neighborhood #3 (Power Out)</t>
  </si>
  <si>
    <t>No Cars Go</t>
  </si>
  <si>
    <t>In the Backseat</t>
  </si>
  <si>
    <t>Reflektor</t>
  </si>
  <si>
    <t>Archers of Loaf</t>
  </si>
  <si>
    <t>Web in Front</t>
  </si>
  <si>
    <t>Icky Mettle</t>
  </si>
  <si>
    <t>Wrong</t>
  </si>
  <si>
    <t>Harnessed in Slums</t>
  </si>
  <si>
    <t>Vee Vee</t>
  </si>
  <si>
    <t>Might</t>
  </si>
  <si>
    <t>Greatest of All Time</t>
  </si>
  <si>
    <t>Freezing Point</t>
  </si>
  <si>
    <t>Vs the Greatest of All Time</t>
  </si>
  <si>
    <t>Audiowhore</t>
  </si>
  <si>
    <t>Plumb Line</t>
  </si>
  <si>
    <t>Lowest Part is Free!</t>
  </si>
  <si>
    <t>Scenic Pastures</t>
  </si>
  <si>
    <t>All the Nations Airports</t>
  </si>
  <si>
    <t>Arctic Monkeys</t>
  </si>
  <si>
    <t>A Certain Romance</t>
  </si>
  <si>
    <t>Whatever People Say I Am, That's What I'm Not</t>
  </si>
  <si>
    <t>Favourite Worst Nightmare</t>
  </si>
  <si>
    <t>Fluorescent Adolescent</t>
  </si>
  <si>
    <t>Cornerstone</t>
  </si>
  <si>
    <t>Humbug</t>
  </si>
  <si>
    <t>Crying Lightning</t>
  </si>
  <si>
    <t>Do Me a Favour</t>
  </si>
  <si>
    <t>Mardy Bum</t>
  </si>
  <si>
    <t>Do I Wanna Know?</t>
  </si>
  <si>
    <t>AM</t>
  </si>
  <si>
    <t>I Bet You Look Good on the Dancefloor</t>
  </si>
  <si>
    <t>When the Sun Goes Down</t>
  </si>
  <si>
    <t>Round and Round</t>
  </si>
  <si>
    <t>Only in My Dreams</t>
  </si>
  <si>
    <t>Dayzed Inn Daydreams</t>
  </si>
  <si>
    <t>Put Your Number in My Phone</t>
  </si>
  <si>
    <t>Lipstick</t>
  </si>
  <si>
    <t>Not Enough Violence</t>
  </si>
  <si>
    <t>Black Ballerina</t>
  </si>
  <si>
    <t>White Freckles</t>
  </si>
  <si>
    <t>Every Night I Die at Miyagis</t>
  </si>
  <si>
    <t>Bright Lit Blue Skies</t>
  </si>
  <si>
    <t>Since I Left You</t>
  </si>
  <si>
    <t>Because I'm Me</t>
  </si>
  <si>
    <t>Frontier Psychiatrist</t>
  </si>
  <si>
    <t>Electricity</t>
  </si>
  <si>
    <t>If I Was a Folkstar</t>
  </si>
  <si>
    <t>Subways</t>
  </si>
  <si>
    <t>A Different Feeling</t>
  </si>
  <si>
    <t>The Wozard of Iz</t>
  </si>
  <si>
    <t>Two Hearts in 3/4 Time</t>
  </si>
  <si>
    <t>Close to You</t>
  </si>
  <si>
    <t>No One's Gonna Love You</t>
  </si>
  <si>
    <t>The First Song</t>
  </si>
  <si>
    <t>The Funeral</t>
  </si>
  <si>
    <t>Is There a Ghost</t>
  </si>
  <si>
    <t>Islands on the Coast</t>
  </si>
  <si>
    <t>The Great Salt Lake</t>
  </si>
  <si>
    <t>I Go to the Barn Because I Like the</t>
  </si>
  <si>
    <t>Cigarettes, Wedding Bands</t>
  </si>
  <si>
    <t>Our Swords</t>
  </si>
  <si>
    <t>Ode to LRC</t>
  </si>
  <si>
    <t>Bat for Lashes</t>
  </si>
  <si>
    <t>Daniel</t>
  </si>
  <si>
    <t>Two Suns</t>
  </si>
  <si>
    <t>Laura</t>
  </si>
  <si>
    <t>The Haunted Man</t>
  </si>
  <si>
    <t>All Your Gold</t>
  </si>
  <si>
    <t>Glass</t>
  </si>
  <si>
    <t>What's a Girl to Do?</t>
  </si>
  <si>
    <t>Fur and Gold</t>
  </si>
  <si>
    <t>Kids in the Dark</t>
  </si>
  <si>
    <t>Lost Girls</t>
  </si>
  <si>
    <t>Sunday Love</t>
  </si>
  <si>
    <t>The Bride</t>
  </si>
  <si>
    <t>Pearl's Dream</t>
  </si>
  <si>
    <t>Moon and Moon</t>
  </si>
  <si>
    <t>The Hunger</t>
  </si>
  <si>
    <t>God Only Knows</t>
  </si>
  <si>
    <t>Surf's Up</t>
  </si>
  <si>
    <t>Wouldn't It Be Nice</t>
  </si>
  <si>
    <t>Good Vibrations</t>
  </si>
  <si>
    <t>Heroes and Villains</t>
  </si>
  <si>
    <t>Don't Worry Baby</t>
  </si>
  <si>
    <t>I Just Wasn't Made For These Times</t>
  </si>
  <si>
    <t>Sloop John B</t>
  </si>
  <si>
    <t>Caroline, No</t>
  </si>
  <si>
    <t>California Girls</t>
  </si>
  <si>
    <t>Sleep Apnea</t>
  </si>
  <si>
    <t>Crashed Out</t>
  </si>
  <si>
    <t>What a Pleasure</t>
  </si>
  <si>
    <t>Sometimes</t>
  </si>
  <si>
    <t>This Year</t>
  </si>
  <si>
    <t>Clash the Truth</t>
  </si>
  <si>
    <t>Down the Line</t>
  </si>
  <si>
    <t>Careless</t>
  </si>
  <si>
    <t>Daydream</t>
  </si>
  <si>
    <t>Generational Synthetic</t>
  </si>
  <si>
    <t>Beach House</t>
  </si>
  <si>
    <t>Myth</t>
  </si>
  <si>
    <t>Bloom</t>
  </si>
  <si>
    <t>Space Song</t>
  </si>
  <si>
    <t>Depression Cherry</t>
  </si>
  <si>
    <t>Levitation</t>
  </si>
  <si>
    <t>Lazuli</t>
  </si>
  <si>
    <t>PPP</t>
  </si>
  <si>
    <t>Silver Soul</t>
  </si>
  <si>
    <t>Teen Dream</t>
  </si>
  <si>
    <t>Walk in the Park</t>
  </si>
  <si>
    <t>Sparks</t>
  </si>
  <si>
    <t>Take Care</t>
  </si>
  <si>
    <t>Superstar</t>
  </si>
  <si>
    <t>Once Twice Melody</t>
  </si>
  <si>
    <t>Godsend</t>
  </si>
  <si>
    <t>Indian Summer</t>
  </si>
  <si>
    <t>Tiger Trap</t>
  </si>
  <si>
    <t>Teenage Caveman</t>
  </si>
  <si>
    <t>Bewitched</t>
  </si>
  <si>
    <t>Our Secret</t>
  </si>
  <si>
    <t>Cast a Shadow</t>
  </si>
  <si>
    <t>Noise</t>
  </si>
  <si>
    <t>Bury the Hammer</t>
  </si>
  <si>
    <t>What's Important</t>
  </si>
  <si>
    <t>The Beatles</t>
  </si>
  <si>
    <t>A Day in the Life</t>
  </si>
  <si>
    <t>Sgt. Pepper's Lonely Hearts Club Band</t>
  </si>
  <si>
    <t>Strawberry Fields Forever</t>
  </si>
  <si>
    <t>Penny Lane / Strawberry Fields Forever</t>
  </si>
  <si>
    <t>In My Life</t>
  </si>
  <si>
    <t>Rubber Soul</t>
  </si>
  <si>
    <t>Something</t>
  </si>
  <si>
    <t>Abbey Road</t>
  </si>
  <si>
    <t>Eleanor Rigby</t>
  </si>
  <si>
    <t>Revolver</t>
  </si>
  <si>
    <t>Happiness Is a Warm Gun</t>
  </si>
  <si>
    <t>The Beatles (The White Album)</t>
  </si>
  <si>
    <t>Tomorrow Never Knows</t>
  </si>
  <si>
    <t>Abbey Road Medley (Tracks 9-16)</t>
  </si>
  <si>
    <t>I Want You (She's So Heavy)</t>
  </si>
  <si>
    <t>Here Comes the Sun</t>
  </si>
  <si>
    <t>Loser</t>
  </si>
  <si>
    <t>Where It's At</t>
  </si>
  <si>
    <t>Lost Cause</t>
  </si>
  <si>
    <t>Devil's Haircut</t>
  </si>
  <si>
    <t>Debra</t>
  </si>
  <si>
    <t>Sexx Laws</t>
  </si>
  <si>
    <t>The Golden Age</t>
  </si>
  <si>
    <t>Girl</t>
  </si>
  <si>
    <t>E-Pro</t>
  </si>
  <si>
    <t>Tropicalia</t>
  </si>
  <si>
    <t>Postcards from Italy</t>
  </si>
  <si>
    <t>Nantes</t>
  </si>
  <si>
    <t>Elephant Gun</t>
  </si>
  <si>
    <t>Santa Fe</t>
  </si>
  <si>
    <t>Cliquot</t>
  </si>
  <si>
    <t>A Candle's Fire</t>
  </si>
  <si>
    <t>Scenic World</t>
  </si>
  <si>
    <t>East Harlem</t>
  </si>
  <si>
    <t>Cherbourg</t>
  </si>
  <si>
    <t>No No No</t>
  </si>
  <si>
    <t>The State I Am In</t>
  </si>
  <si>
    <t>Get Me Away from Here, I'm Dying</t>
  </si>
  <si>
    <t>The Boy with the Arab Strap</t>
  </si>
  <si>
    <t>Judy and the Dream of Horses</t>
  </si>
  <si>
    <t>Like Dylan in the Movies</t>
  </si>
  <si>
    <t>If You're Feeling Sinister</t>
  </si>
  <si>
    <t>Lazy Line Painter Jane</t>
  </si>
  <si>
    <t>Piazza, New York Catcher</t>
  </si>
  <si>
    <t>Sleep the Clock Around</t>
  </si>
  <si>
    <t>Best Coast</t>
  </si>
  <si>
    <t>Crazy for You</t>
  </si>
  <si>
    <t>Boyfriend</t>
  </si>
  <si>
    <t>When I'm With You</t>
  </si>
  <si>
    <t>Our Deal</t>
  </si>
  <si>
    <t>The Only Place</t>
  </si>
  <si>
    <t>Feeling OK</t>
  </si>
  <si>
    <t>California Nights</t>
  </si>
  <si>
    <t>I Want To</t>
  </si>
  <si>
    <t>Everything Has Changed</t>
  </si>
  <si>
    <t>Always Tomorrow</t>
  </si>
  <si>
    <t>Sun Was High (So Was I)</t>
  </si>
  <si>
    <t>Sun Was High (So Was I) Single</t>
  </si>
  <si>
    <t>Heaven Sent</t>
  </si>
  <si>
    <t>The Beths</t>
  </si>
  <si>
    <t>Little Death</t>
  </si>
  <si>
    <t>Future Me Hates Me</t>
  </si>
  <si>
    <t>Dying to Believe</t>
  </si>
  <si>
    <t>Jump Rope Gazers</t>
  </si>
  <si>
    <t>Expert in a Dying Field</t>
  </si>
  <si>
    <t>Knees Deep</t>
  </si>
  <si>
    <t>Not Running</t>
  </si>
  <si>
    <t>Out of Sight</t>
  </si>
  <si>
    <t>Happy Unhappy</t>
  </si>
  <si>
    <t>River Run: Lvl 1</t>
  </si>
  <si>
    <t>Bibio</t>
  </si>
  <si>
    <t>Silver Wilkinson</t>
  </si>
  <si>
    <t>Lovers' Carvings</t>
  </si>
  <si>
    <t>Ambivalence Avenue</t>
  </si>
  <si>
    <t>Curls</t>
  </si>
  <si>
    <t>Ribbons</t>
  </si>
  <si>
    <t>Town and Country</t>
  </si>
  <si>
    <t>A Mineral Love</t>
  </si>
  <si>
    <t>Haikuesque (When She Laughs)</t>
  </si>
  <si>
    <t>You</t>
  </si>
  <si>
    <t>The Ephemeral Bluebell</t>
  </si>
  <si>
    <t>Vignetting the Compost</t>
  </si>
  <si>
    <t>Wake Up!</t>
  </si>
  <si>
    <t>Mind Bokeh</t>
  </si>
  <si>
    <t>Take Off Your Shirt</t>
  </si>
  <si>
    <t>Thirteen</t>
  </si>
  <si>
    <t>September Gurls</t>
  </si>
  <si>
    <t>The Ballad of El Goodo</t>
  </si>
  <si>
    <t>I'm in Love with a Girl</t>
  </si>
  <si>
    <t>Thank You Friends</t>
  </si>
  <si>
    <t>Daisy Glaze</t>
  </si>
  <si>
    <t>In the Street</t>
  </si>
  <si>
    <t>Feel</t>
  </si>
  <si>
    <t>When My Baby's Beside Me</t>
  </si>
  <si>
    <t>Big Thief</t>
  </si>
  <si>
    <t>Not</t>
  </si>
  <si>
    <t>Two Hands</t>
  </si>
  <si>
    <t>Simulation Swarm</t>
  </si>
  <si>
    <t>Dragon New Warm Mountain I Believe In You</t>
  </si>
  <si>
    <t>Cattails</t>
  </si>
  <si>
    <t>Mary</t>
  </si>
  <si>
    <t>Capacity</t>
  </si>
  <si>
    <t>Mythological Beauty</t>
  </si>
  <si>
    <t>Little Things</t>
  </si>
  <si>
    <t>Paul</t>
  </si>
  <si>
    <t>Masterpiece</t>
  </si>
  <si>
    <t>Shark Smile</t>
  </si>
  <si>
    <t>Jim Cain</t>
  </si>
  <si>
    <t>Riding for the Feeling</t>
  </si>
  <si>
    <t>Say Valley Maker</t>
  </si>
  <si>
    <t>Drover</t>
  </si>
  <si>
    <t>I Break Horses</t>
  </si>
  <si>
    <t>Let Me See the Colts</t>
  </si>
  <si>
    <t>Too Many Birds</t>
  </si>
  <si>
    <t>The Sing</t>
  </si>
  <si>
    <t>One Fine Morning</t>
  </si>
  <si>
    <t>Rock Bottom Riser</t>
  </si>
  <si>
    <t>Björk</t>
  </si>
  <si>
    <t>Jóga</t>
  </si>
  <si>
    <t>Homogenic</t>
  </si>
  <si>
    <t>Hyperballad</t>
  </si>
  <si>
    <t>Post</t>
  </si>
  <si>
    <t>Pagan Poetry</t>
  </si>
  <si>
    <t>Vespertine</t>
  </si>
  <si>
    <t>Bachelorette</t>
  </si>
  <si>
    <t>Stonemilker</t>
  </si>
  <si>
    <t>Vulnicura</t>
  </si>
  <si>
    <t>All Is Full of Love</t>
  </si>
  <si>
    <t>Hidden Place</t>
  </si>
  <si>
    <t>Unison</t>
  </si>
  <si>
    <t>Unravel</t>
  </si>
  <si>
    <t>Venus As a Boy</t>
  </si>
  <si>
    <t>Debut</t>
  </si>
  <si>
    <t>Everlasting Light</t>
  </si>
  <si>
    <t>Weight of Love</t>
  </si>
  <si>
    <t>Little Black Submarines</t>
  </si>
  <si>
    <t>Tighten Up</t>
  </si>
  <si>
    <t>I Got Mine</t>
  </si>
  <si>
    <t>Thickfreakness</t>
  </si>
  <si>
    <t>Lonely Boy</t>
  </si>
  <si>
    <t>Gold on the Ceiling</t>
  </si>
  <si>
    <t>Howlin' for You</t>
  </si>
  <si>
    <t>The Lengths</t>
  </si>
  <si>
    <t>Black Midi</t>
  </si>
  <si>
    <t>Sugar/Tzu</t>
  </si>
  <si>
    <t>Hellfire</t>
  </si>
  <si>
    <t>Welcome to Hell</t>
  </si>
  <si>
    <t>John L</t>
  </si>
  <si>
    <t>Cavalcade</t>
  </si>
  <si>
    <t>Slow</t>
  </si>
  <si>
    <t>Bmbmbm</t>
  </si>
  <si>
    <t>Schlagenheim</t>
  </si>
  <si>
    <t>Near DT, MI</t>
  </si>
  <si>
    <t>Eat Men Eat</t>
  </si>
  <si>
    <t>Western</t>
  </si>
  <si>
    <t>The Race Is About to Begin</t>
  </si>
  <si>
    <t>Bleachers</t>
  </si>
  <si>
    <t>Don't Take the Money</t>
  </si>
  <si>
    <t>Gone Now</t>
  </si>
  <si>
    <t>I Wanna Get Better</t>
  </si>
  <si>
    <t>Strange Desire</t>
  </si>
  <si>
    <t>Rollercoaster</t>
  </si>
  <si>
    <t>How Dare You Want More</t>
  </si>
  <si>
    <t>Take the Sadness Out of Saturday Night</t>
  </si>
  <si>
    <t>Chinatown</t>
  </si>
  <si>
    <t>Hate That You Know Me</t>
  </si>
  <si>
    <t>Stop Making This Hurt</t>
  </si>
  <si>
    <t>I Miss Those Days</t>
  </si>
  <si>
    <t>Wild Heart</t>
  </si>
  <si>
    <t>Like a River Runs</t>
  </si>
  <si>
    <t>This Modern Love</t>
  </si>
  <si>
    <t>Like Eating Glass</t>
  </si>
  <si>
    <t>Banquet</t>
  </si>
  <si>
    <t>Helicopter</t>
  </si>
  <si>
    <t>Ion Square</t>
  </si>
  <si>
    <t>So Here We Are</t>
  </si>
  <si>
    <t>I Still Remember</t>
  </si>
  <si>
    <t>Positive Tension</t>
  </si>
  <si>
    <t>Waiting for the 7.18</t>
  </si>
  <si>
    <t>Skeleton</t>
  </si>
  <si>
    <t>Blood Orange</t>
  </si>
  <si>
    <t>You're Not Good Enough</t>
  </si>
  <si>
    <t>Cupid Deluxe</t>
  </si>
  <si>
    <t>Best to You</t>
  </si>
  <si>
    <t>Freetown Sound</t>
  </si>
  <si>
    <t>Charcoal Baby</t>
  </si>
  <si>
    <t>Negro Swan</t>
  </si>
  <si>
    <t>Chamakay</t>
  </si>
  <si>
    <t>It Is What It Is</t>
  </si>
  <si>
    <t>E.V.P.</t>
  </si>
  <si>
    <t>Chosen</t>
  </si>
  <si>
    <t>Champagne Coast</t>
  </si>
  <si>
    <t>Coastal Grooves</t>
  </si>
  <si>
    <t>Saint</t>
  </si>
  <si>
    <t>Dark &amp; Handsome</t>
  </si>
  <si>
    <t>Angel's Pulse</t>
  </si>
  <si>
    <t>Like a Rolling Stone</t>
  </si>
  <si>
    <t>Desolation Row</t>
  </si>
  <si>
    <t>Visions of Johanna</t>
  </si>
  <si>
    <t>Tangled Up in Blue</t>
  </si>
  <si>
    <t>Mr. Tambourine Man</t>
  </si>
  <si>
    <t>It's Alright, Ma (I'm Only Bleeding)</t>
  </si>
  <si>
    <t>Ballad of a Thin Man</t>
  </si>
  <si>
    <t>Girl from the North Country</t>
  </si>
  <si>
    <t>Shelter from the Storm</t>
  </si>
  <si>
    <t>Syke! Life is Awesome</t>
  </si>
  <si>
    <t>25!!!</t>
  </si>
  <si>
    <t>Future 86</t>
  </si>
  <si>
    <t>Felt Just Like Vacation</t>
  </si>
  <si>
    <t>Everybody That You Love</t>
  </si>
  <si>
    <t>That Shit That You Hate</t>
  </si>
  <si>
    <t>The First Time I Met Sanawon</t>
  </si>
  <si>
    <t>Hurricane Waves</t>
  </si>
  <si>
    <t>Shuffle</t>
  </si>
  <si>
    <t>Always Like This</t>
  </si>
  <si>
    <t>How Can You Swallow So Much Sleep</t>
  </si>
  <si>
    <t>Lights Out, Words Gone</t>
  </si>
  <si>
    <t>What If</t>
  </si>
  <si>
    <t>Home By Now</t>
  </si>
  <si>
    <t>Luna</t>
  </si>
  <si>
    <t>Your Eyes</t>
  </si>
  <si>
    <t xml:space="preserve">Carry Me </t>
  </si>
  <si>
    <t>Overdone</t>
  </si>
  <si>
    <t>Holocene</t>
  </si>
  <si>
    <t>Re: Stacks</t>
  </si>
  <si>
    <t>Skinny Love</t>
  </si>
  <si>
    <t>Perth</t>
  </si>
  <si>
    <t>For Emma</t>
  </si>
  <si>
    <t>Flume</t>
  </si>
  <si>
    <t>#29 Strafford Apts</t>
  </si>
  <si>
    <t>Beth/Rest</t>
  </si>
  <si>
    <t>33 "God"</t>
  </si>
  <si>
    <t>The Wolves (Act I and II)</t>
  </si>
  <si>
    <t>St. Elmo's Fire</t>
  </si>
  <si>
    <t>The Big Ship</t>
  </si>
  <si>
    <t>Here Come the Warm Jets</t>
  </si>
  <si>
    <t>Needles in the Camel's Eye</t>
  </si>
  <si>
    <t>Golden Hours</t>
  </si>
  <si>
    <t>I'll Come Running</t>
  </si>
  <si>
    <t>Baby's on Fire</t>
  </si>
  <si>
    <t>An Ending (Ascent)</t>
  </si>
  <si>
    <t>By This River</t>
  </si>
  <si>
    <t>The Brian Jonestown Massacre</t>
  </si>
  <si>
    <t>Anemone</t>
  </si>
  <si>
    <t>Their Satanic Majesties' Second Request</t>
  </si>
  <si>
    <t>Pish</t>
  </si>
  <si>
    <t>Mini Album Thingy Wingy</t>
  </si>
  <si>
    <t>(David Bowie I Love You) Since I Was Six</t>
  </si>
  <si>
    <t>Take It from the Man!</t>
  </si>
  <si>
    <t>Fingertips</t>
  </si>
  <si>
    <t>The Devil May Care (Mom and Dad Don't)</t>
  </si>
  <si>
    <t>Give It Back!</t>
  </si>
  <si>
    <t>Vad Hände Med Dem</t>
  </si>
  <si>
    <t>Revelation</t>
  </si>
  <si>
    <t>She's Gone</t>
  </si>
  <si>
    <t>Methodrone</t>
  </si>
  <si>
    <t>That Girl Suicide</t>
  </si>
  <si>
    <t>Vacuum Boots</t>
  </si>
  <si>
    <t>Ballad of Jim Jones</t>
  </si>
  <si>
    <t>Thank God for Mental Illness</t>
  </si>
  <si>
    <t>Waste of Paint</t>
  </si>
  <si>
    <t>Broadcast</t>
  </si>
  <si>
    <t>Come On Let's Go</t>
  </si>
  <si>
    <t>The Noise Made by People</t>
  </si>
  <si>
    <t>Tears in the Typing Pool</t>
  </si>
  <si>
    <t>Tender Buttons</t>
  </si>
  <si>
    <t>America's Boy</t>
  </si>
  <si>
    <t>Ominous Cloud</t>
  </si>
  <si>
    <t>Haha Sound</t>
  </si>
  <si>
    <t>I Found the F</t>
  </si>
  <si>
    <t>Before We Begin</t>
  </si>
  <si>
    <t>Black Cat</t>
  </si>
  <si>
    <t>Corporeal</t>
  </si>
  <si>
    <t>Michael A Grammar</t>
  </si>
  <si>
    <t>Echo's Answer</t>
  </si>
  <si>
    <t>BROCKHAMPTON</t>
  </si>
  <si>
    <t>SWEET</t>
  </si>
  <si>
    <t>SATURATION II</t>
  </si>
  <si>
    <t>JUNKY</t>
  </si>
  <si>
    <t>GUMMY</t>
  </si>
  <si>
    <t>HEAT</t>
  </si>
  <si>
    <t>SATURATION</t>
  </si>
  <si>
    <t>GOLD</t>
  </si>
  <si>
    <t>SISTER/NATION</t>
  </si>
  <si>
    <t>SATURATION III</t>
  </si>
  <si>
    <t>QUEER</t>
  </si>
  <si>
    <t>BLEACH</t>
  </si>
  <si>
    <t>BOOGIE</t>
  </si>
  <si>
    <t>STAR</t>
  </si>
  <si>
    <t>Anthems for a Seventeen-Year-Old Girl</t>
  </si>
  <si>
    <t>7/4 (Shoreline)</t>
  </si>
  <si>
    <t>Lover's Spit</t>
  </si>
  <si>
    <t>It's All Gonna Break</t>
  </si>
  <si>
    <t>Cause = Time</t>
  </si>
  <si>
    <t>Almost Crimes</t>
  </si>
  <si>
    <t>KC Accidental</t>
  </si>
  <si>
    <t>Shampoo Suicide</t>
  </si>
  <si>
    <t>Ibi Dreams of Pavement</t>
  </si>
  <si>
    <t>Superconnected</t>
  </si>
  <si>
    <t>Thunder Road</t>
  </si>
  <si>
    <t>Born to Run</t>
  </si>
  <si>
    <t>Jungleland</t>
  </si>
  <si>
    <t>Atlantic City</t>
  </si>
  <si>
    <t>Backstreets</t>
  </si>
  <si>
    <t>The River</t>
  </si>
  <si>
    <t>Badlands</t>
  </si>
  <si>
    <t>Dancing in the Dark</t>
  </si>
  <si>
    <t>Rosalita (Come Out Tonight)</t>
  </si>
  <si>
    <t>Burial</t>
  </si>
  <si>
    <t>Archangel</t>
  </si>
  <si>
    <t>Untrue</t>
  </si>
  <si>
    <t>Kindred</t>
  </si>
  <si>
    <t>Kindred EP</t>
  </si>
  <si>
    <t>Come Down to Us</t>
  </si>
  <si>
    <t>Rival Dealer EP</t>
  </si>
  <si>
    <t>Ashtray Wasp</t>
  </si>
  <si>
    <t>Moth</t>
  </si>
  <si>
    <t>Loner</t>
  </si>
  <si>
    <t>Rival Dealer</t>
  </si>
  <si>
    <t>Ghost Hardware</t>
  </si>
  <si>
    <t>Stolen Dog</t>
  </si>
  <si>
    <t>Street Halo EP</t>
  </si>
  <si>
    <t>The Byrds</t>
  </si>
  <si>
    <t>Eight Miles High</t>
  </si>
  <si>
    <t>Fifth Dimension</t>
  </si>
  <si>
    <t>I'll Feel a Whole Lot Better</t>
  </si>
  <si>
    <t>Mr. Spaceman</t>
  </si>
  <si>
    <t>You Ain't Goin' Nowhere</t>
  </si>
  <si>
    <t>Sweetheart of the Rodeo</t>
  </si>
  <si>
    <t>Turn! Turn! Turn!</t>
  </si>
  <si>
    <t>Turn! Turn! Turn</t>
  </si>
  <si>
    <t>Everybody's Been Burned</t>
  </si>
  <si>
    <t>Younger Than Yesterday</t>
  </si>
  <si>
    <t>My Back Pages</t>
  </si>
  <si>
    <t>So You Want To Be A Rock 'n' Roll Star</t>
  </si>
  <si>
    <t>Hickory Wind</t>
  </si>
  <si>
    <t>Cigarette Daydreams</t>
  </si>
  <si>
    <t>Shake Me Down</t>
  </si>
  <si>
    <t>Come a Little Closer</t>
  </si>
  <si>
    <t>Telescope</t>
  </si>
  <si>
    <t>Take It or Leave It</t>
  </si>
  <si>
    <t>Aberdeen</t>
  </si>
  <si>
    <t>Back Against the Wall</t>
  </si>
  <si>
    <t>Spiderhead</t>
  </si>
  <si>
    <t>Ain't No Rest For the Wicked</t>
  </si>
  <si>
    <t>In One Ear</t>
  </si>
  <si>
    <t>Lloyd, I'm Ready to Be Heartbroken</t>
  </si>
  <si>
    <t>French Navy</t>
  </si>
  <si>
    <t>Let's Get Out of This Country</t>
  </si>
  <si>
    <t>If Looks Could Kill</t>
  </si>
  <si>
    <t>Honey in the Sun</t>
  </si>
  <si>
    <t>Razzle Dazzle Rose</t>
  </si>
  <si>
    <t>The Sweetest Thing</t>
  </si>
  <si>
    <t>Eighties Fan</t>
  </si>
  <si>
    <t>My Maudlin Career</t>
  </si>
  <si>
    <t>Swans</t>
  </si>
  <si>
    <t>Halleluwah</t>
  </si>
  <si>
    <t>Future Days</t>
  </si>
  <si>
    <t>Vitamin C</t>
  </si>
  <si>
    <t>Bel Air</t>
  </si>
  <si>
    <t>Paperhouse</t>
  </si>
  <si>
    <t>Oh Yeah</t>
  </si>
  <si>
    <t>Mother Sky</t>
  </si>
  <si>
    <t>Moonshake</t>
  </si>
  <si>
    <t>Father Cannot Yell</t>
  </si>
  <si>
    <t>Mushroom</t>
  </si>
  <si>
    <t>Caribou</t>
  </si>
  <si>
    <t>Odessa</t>
  </si>
  <si>
    <t>Swim</t>
  </si>
  <si>
    <t>Can't Do Without You</t>
  </si>
  <si>
    <t>Our Love</t>
  </si>
  <si>
    <t>Never Come Back</t>
  </si>
  <si>
    <t>Suddenly</t>
  </si>
  <si>
    <t>Melody Day</t>
  </si>
  <si>
    <t>Andorra</t>
  </si>
  <si>
    <t>You and I</t>
  </si>
  <si>
    <t>Sun</t>
  </si>
  <si>
    <t>Leave House</t>
  </si>
  <si>
    <t>Silver</t>
  </si>
  <si>
    <t>All I Ever Need</t>
  </si>
  <si>
    <t>Beach Life-at-Death</t>
  </si>
  <si>
    <t>Sober to Death</t>
  </si>
  <si>
    <t>Bodys</t>
  </si>
  <si>
    <t>Something Soon</t>
  </si>
  <si>
    <t>The Ending of Dramamine</t>
  </si>
  <si>
    <t>The Ballad of the Costa Concordia</t>
  </si>
  <si>
    <t>Drugs With Friends</t>
  </si>
  <si>
    <t>Destroyed by Hippie Powers</t>
  </si>
  <si>
    <t>Just What I Needed</t>
  </si>
  <si>
    <t>Moving in Stereo</t>
  </si>
  <si>
    <t>Drive</t>
  </si>
  <si>
    <t>My Best Friend's Girl</t>
  </si>
  <si>
    <t>Bye Bye Love</t>
  </si>
  <si>
    <t>Good Times Roll</t>
  </si>
  <si>
    <t>Let's Go</t>
  </si>
  <si>
    <t>Magic</t>
  </si>
  <si>
    <t>You Might Think</t>
  </si>
  <si>
    <t>You're All I've Got Tonight</t>
  </si>
  <si>
    <t>Captain Beefheart</t>
  </si>
  <si>
    <t>Moonlight on Vermont</t>
  </si>
  <si>
    <t>Trout Mask Replica</t>
  </si>
  <si>
    <t>Big Eyed Beans from Venus</t>
  </si>
  <si>
    <t>Clear Spot</t>
  </si>
  <si>
    <t>Safe As Milk</t>
  </si>
  <si>
    <t>Her Eyes Are a Blue Million Miles</t>
  </si>
  <si>
    <t>Sure Nuff N Yes I Do</t>
  </si>
  <si>
    <t>Moody Liz</t>
  </si>
  <si>
    <t>The Mirror Man Sessions</t>
  </si>
  <si>
    <t>Steal Softly Thru Snow</t>
  </si>
  <si>
    <t>Autumn's Child</t>
  </si>
  <si>
    <t>Hair Pie: Bake 2</t>
  </si>
  <si>
    <t>Metal Heart</t>
  </si>
  <si>
    <t>He War</t>
  </si>
  <si>
    <t>Cross Bones Style</t>
  </si>
  <si>
    <t>Lived in Bars</t>
  </si>
  <si>
    <t>Maybe Not</t>
  </si>
  <si>
    <t>Nude as the News</t>
  </si>
  <si>
    <t>Sea of Love</t>
  </si>
  <si>
    <t>No Sense</t>
  </si>
  <si>
    <t>Moonshiner</t>
  </si>
  <si>
    <t>Good Woman</t>
  </si>
  <si>
    <t>Cate Le Bon</t>
  </si>
  <si>
    <t>Home To You</t>
  </si>
  <si>
    <t>Reward</t>
  </si>
  <si>
    <t>Harbour</t>
  </si>
  <si>
    <t>Pompeii</t>
  </si>
  <si>
    <t>Moderation</t>
  </si>
  <si>
    <t>Daylight Matters</t>
  </si>
  <si>
    <t>Are You With Me Now?</t>
  </si>
  <si>
    <t>Mug Meseum</t>
  </si>
  <si>
    <t>Here It Comes Again</t>
  </si>
  <si>
    <t>Running Away</t>
  </si>
  <si>
    <t>Remembering Me</t>
  </si>
  <si>
    <t>Dirt On the Bed</t>
  </si>
  <si>
    <t>Charli XCX</t>
  </si>
  <si>
    <t>Track 10</t>
  </si>
  <si>
    <t>Pop 2</t>
  </si>
  <si>
    <t>Vroom Vroom</t>
  </si>
  <si>
    <t>Gone</t>
  </si>
  <si>
    <t>Charli</t>
  </si>
  <si>
    <t>forever</t>
  </si>
  <si>
    <t>How I'm Feeling Now</t>
  </si>
  <si>
    <t>claws</t>
  </si>
  <si>
    <t>Next Level Charli</t>
  </si>
  <si>
    <t>Backseat</t>
  </si>
  <si>
    <t>Unlock It</t>
  </si>
  <si>
    <t>Tears</t>
  </si>
  <si>
    <t>party 4 u</t>
  </si>
  <si>
    <t>Chromatics</t>
  </si>
  <si>
    <t>Kill for Love</t>
  </si>
  <si>
    <t>Shadow</t>
  </si>
  <si>
    <t>Shadow Single</t>
  </si>
  <si>
    <t>I Can Never Be Myself When You're Around</t>
  </si>
  <si>
    <t>I Can Never Be Myself When You're Around Single</t>
  </si>
  <si>
    <t>Cherry</t>
  </si>
  <si>
    <t>Lady</t>
  </si>
  <si>
    <t>Twist the Knife</t>
  </si>
  <si>
    <t>Closer to Grey</t>
  </si>
  <si>
    <t>These Streets Will Never Look the Same</t>
  </si>
  <si>
    <t>Night Drive</t>
  </si>
  <si>
    <t>Back from the Grave</t>
  </si>
  <si>
    <t>The Mother We Share</t>
  </si>
  <si>
    <t>Clearest Blue</t>
  </si>
  <si>
    <t>Gun</t>
  </si>
  <si>
    <t>Recover</t>
  </si>
  <si>
    <t>Leave a Trace</t>
  </si>
  <si>
    <t>Tether</t>
  </si>
  <si>
    <t>Lies</t>
  </si>
  <si>
    <t>We Sink</t>
  </si>
  <si>
    <t>Lungs</t>
  </si>
  <si>
    <t>Never Ending Circles</t>
  </si>
  <si>
    <t>Clap Your Hands Say Yeah</t>
  </si>
  <si>
    <t>The Skin of My Yellow Country Teeth</t>
  </si>
  <si>
    <t>Let the Cool Goddess Rust Away</t>
  </si>
  <si>
    <t>Upon This Tidal Wave of Young Blood</t>
  </si>
  <si>
    <t>Is This Love?</t>
  </si>
  <si>
    <t>Details of the War</t>
  </si>
  <si>
    <t>In This Home on Ice</t>
  </si>
  <si>
    <t>Over and Over Again (Lost and Found)</t>
  </si>
  <si>
    <t>Heavy Metal</t>
  </si>
  <si>
    <t>Hysterical</t>
  </si>
  <si>
    <t>Cigarettes</t>
  </si>
  <si>
    <t>BBC 6 Music Gideon Coe Session</t>
  </si>
  <si>
    <t>London Calling</t>
  </si>
  <si>
    <t>Train in Vain</t>
  </si>
  <si>
    <t>Lost in the Supermarket</t>
  </si>
  <si>
    <t>(White Man) In Hammersmith Palais</t>
  </si>
  <si>
    <t>Spanish Bombs</t>
  </si>
  <si>
    <t>Straight to Hell</t>
  </si>
  <si>
    <t>The Guns of Brixton</t>
  </si>
  <si>
    <t>Rock the Casbah</t>
  </si>
  <si>
    <t>Complete Control</t>
  </si>
  <si>
    <t>The Magnificent Seven</t>
  </si>
  <si>
    <t>clipping.</t>
  </si>
  <si>
    <t>Story 2</t>
  </si>
  <si>
    <t>CLPPNG</t>
  </si>
  <si>
    <t>Enlacing</t>
  </si>
  <si>
    <t>Visions of Bodies Being Burned</t>
  </si>
  <si>
    <t>Body &amp; Blood</t>
  </si>
  <si>
    <t>Say the Name</t>
  </si>
  <si>
    <t>Nothing is Safe</t>
  </si>
  <si>
    <t>There Existed an Addiction to Blood</t>
  </si>
  <si>
    <t>Blood of the Fang</t>
  </si>
  <si>
    <t>Wriggle</t>
  </si>
  <si>
    <t>Wriggle EP</t>
  </si>
  <si>
    <t>Inside Out</t>
  </si>
  <si>
    <t>Pain Everyday</t>
  </si>
  <si>
    <t>Check the Lock</t>
  </si>
  <si>
    <t>I'm Not Part of Me</t>
  </si>
  <si>
    <t>Wasted Days</t>
  </si>
  <si>
    <t>Stay Useless</t>
  </si>
  <si>
    <t>Psychic Trauma</t>
  </si>
  <si>
    <t>Pattern Walks</t>
  </si>
  <si>
    <t>No Future / No Past</t>
  </si>
  <si>
    <t>Modern Act</t>
  </si>
  <si>
    <t>Our Plans</t>
  </si>
  <si>
    <t>Fall In</t>
  </si>
  <si>
    <t>Heaven or Las Vegas</t>
  </si>
  <si>
    <t>Cherry-Coloured Funk</t>
  </si>
  <si>
    <t>Pandora (for Cindy)</t>
  </si>
  <si>
    <t>Carolyn's Fingers</t>
  </si>
  <si>
    <t>Frou-Frou Foxes in Midsummer Fires</t>
  </si>
  <si>
    <t>Iceblink Luck</t>
  </si>
  <si>
    <t>Lazy Calm</t>
  </si>
  <si>
    <t>Athol-Brose</t>
  </si>
  <si>
    <t>Sea, Swallow Me</t>
  </si>
  <si>
    <t>The Scientist</t>
  </si>
  <si>
    <t>Shiver</t>
  </si>
  <si>
    <t>Don't Panic</t>
  </si>
  <si>
    <t>Strawberry Swing</t>
  </si>
  <si>
    <t>Violet Hill</t>
  </si>
  <si>
    <t>Amsterdam</t>
  </si>
  <si>
    <t>Fix You</t>
  </si>
  <si>
    <t>Yellow</t>
  </si>
  <si>
    <t>Clocks</t>
  </si>
  <si>
    <t>Viva La Vida</t>
  </si>
  <si>
    <t>Depreston</t>
  </si>
  <si>
    <t>Pedestrian at Best</t>
  </si>
  <si>
    <t>Avant Gardener</t>
  </si>
  <si>
    <t>Elevator Operator</t>
  </si>
  <si>
    <t>City Looks Pretty</t>
  </si>
  <si>
    <t>Small Poppies</t>
  </si>
  <si>
    <t>Nameless. Faceless</t>
  </si>
  <si>
    <t>History Eraser</t>
  </si>
  <si>
    <t>Nobody Really Cares If You Don't Go to the Party</t>
  </si>
  <si>
    <t>Need a Little Time</t>
  </si>
  <si>
    <t>Crosby, Stills, Nash (&amp; Young)</t>
  </si>
  <si>
    <t>Helplessly Hoping</t>
  </si>
  <si>
    <t>Crosby, Stills &amp; Nash</t>
  </si>
  <si>
    <t>Suite: Judy Blue Eyes</t>
  </si>
  <si>
    <t>Helpless</t>
  </si>
  <si>
    <t>Deja Vu</t>
  </si>
  <si>
    <t>Ohio</t>
  </si>
  <si>
    <t>So Far</t>
  </si>
  <si>
    <t>Our House</t>
  </si>
  <si>
    <t>Woodstock</t>
  </si>
  <si>
    <t>Guinnevere</t>
  </si>
  <si>
    <t>Wooden Ships</t>
  </si>
  <si>
    <t>Carry On</t>
  </si>
  <si>
    <t>Replay</t>
  </si>
  <si>
    <t>Southern Cross</t>
  </si>
  <si>
    <t>Daylight Again</t>
  </si>
  <si>
    <t>The Cure</t>
  </si>
  <si>
    <t>Just Like Heaven</t>
  </si>
  <si>
    <t>Kiss Me Kiss Me Kiss Me</t>
  </si>
  <si>
    <t>Pictures of You</t>
  </si>
  <si>
    <t>Disintegration</t>
  </si>
  <si>
    <t>A Forest</t>
  </si>
  <si>
    <t>Seventeen Seconds</t>
  </si>
  <si>
    <t>In Between Days</t>
  </si>
  <si>
    <t>The Head on the Door</t>
  </si>
  <si>
    <t>Fascination Street</t>
  </si>
  <si>
    <t>Lullaby</t>
  </si>
  <si>
    <t>Close to Me</t>
  </si>
  <si>
    <t>Boys Don't Cry</t>
  </si>
  <si>
    <t>One Hundred Years</t>
  </si>
  <si>
    <t>Pornography</t>
  </si>
  <si>
    <t>Daft Punk</t>
  </si>
  <si>
    <t>Digital Love</t>
  </si>
  <si>
    <t>Discovery</t>
  </si>
  <si>
    <t>Instant Crush</t>
  </si>
  <si>
    <t>Random Access Memories</t>
  </si>
  <si>
    <t>One More Time</t>
  </si>
  <si>
    <t>Harder, Better, Faster, Stronger</t>
  </si>
  <si>
    <t>Around the World</t>
  </si>
  <si>
    <t>Homework</t>
  </si>
  <si>
    <t>Face to Face</t>
  </si>
  <si>
    <t>Touch</t>
  </si>
  <si>
    <t>Aerodynamic</t>
  </si>
  <si>
    <t>Da Funk</t>
  </si>
  <si>
    <t>Something About Us</t>
  </si>
  <si>
    <t>Dan Deacon</t>
  </si>
  <si>
    <t>Wham City</t>
  </si>
  <si>
    <t>Spiderman of the Rings</t>
  </si>
  <si>
    <t>When I Was Done Dying</t>
  </si>
  <si>
    <t>Gliss Rifter</t>
  </si>
  <si>
    <t>True Thrush</t>
  </si>
  <si>
    <t>America</t>
  </si>
  <si>
    <t>Snookered</t>
  </si>
  <si>
    <t>Bromst</t>
  </si>
  <si>
    <t>Build Voice</t>
  </si>
  <si>
    <t>Learning to Relax</t>
  </si>
  <si>
    <t>Feel the Lightning</t>
  </si>
  <si>
    <t>Become a Mountain</t>
  </si>
  <si>
    <t>Mystic Familiar</t>
  </si>
  <si>
    <t>The Crystal Cat</t>
  </si>
  <si>
    <t>Sat By a Tree</t>
  </si>
  <si>
    <t>True Love Will Find You in the End</t>
  </si>
  <si>
    <t>Some Things Last a Long Time</t>
  </si>
  <si>
    <t>Walking the Cow</t>
  </si>
  <si>
    <t>The Story of an Artist</t>
  </si>
  <si>
    <t>Devil Town</t>
  </si>
  <si>
    <t>Hey Joe</t>
  </si>
  <si>
    <t>Worried Shoes</t>
  </si>
  <si>
    <t>Don't Let the Sun Go Down On Your Grievances</t>
  </si>
  <si>
    <t>The Sun Shines Down on Me</t>
  </si>
  <si>
    <t>Casper the Friendly Ghost</t>
  </si>
  <si>
    <t>Danny Brown</t>
  </si>
  <si>
    <t>Ain't It Funny</t>
  </si>
  <si>
    <t>Atrocity Exhibition</t>
  </si>
  <si>
    <t>When It Rain</t>
  </si>
  <si>
    <t>XXX</t>
  </si>
  <si>
    <t>Really Doe</t>
  </si>
  <si>
    <t>Best Life</t>
  </si>
  <si>
    <t>uknowhatimsayin¿</t>
  </si>
  <si>
    <t>Pneumonia</t>
  </si>
  <si>
    <t>Grown Up</t>
  </si>
  <si>
    <t>Grown Up Single</t>
  </si>
  <si>
    <t>Monopoly</t>
  </si>
  <si>
    <t>Tell Me What I Don't Know</t>
  </si>
  <si>
    <t>Downward Spiral</t>
  </si>
  <si>
    <t>David Bowie</t>
  </si>
  <si>
    <t>Heroes</t>
  </si>
  <si>
    <t>Life on Mars?</t>
  </si>
  <si>
    <t>Hunky Dory</t>
  </si>
  <si>
    <t>Station to Station</t>
  </si>
  <si>
    <t>Sound and Vision</t>
  </si>
  <si>
    <t>Low</t>
  </si>
  <si>
    <t>Ashes to Ashes</t>
  </si>
  <si>
    <t>Scary Monsters (And Super Creeps)</t>
  </si>
  <si>
    <t>Starman</t>
  </si>
  <si>
    <t>The Rise and Fall of Ziggy Stardust and the Spiders from Mars</t>
  </si>
  <si>
    <t>Moonage Daydream</t>
  </si>
  <si>
    <t>Young Americans</t>
  </si>
  <si>
    <t>Space Oddity</t>
  </si>
  <si>
    <t>Modern Love</t>
  </si>
  <si>
    <t>Let's Dance</t>
  </si>
  <si>
    <t>Dead Kennedys</t>
  </si>
  <si>
    <t>Holiday in Cambodia</t>
  </si>
  <si>
    <t>Fresh Fruit for Rotting Vegetables</t>
  </si>
  <si>
    <t>California Uber Alles</t>
  </si>
  <si>
    <t>Kill the Poor</t>
  </si>
  <si>
    <t>Police Truck</t>
  </si>
  <si>
    <t>Give Me Convenience or Give Me Death</t>
  </si>
  <si>
    <t>Moon Over Marin</t>
  </si>
  <si>
    <t>Plastic Surgery Disasters</t>
  </si>
  <si>
    <t>Let's Lynch the Landlord</t>
  </si>
  <si>
    <t>Nazi Punks Fuck Off</t>
  </si>
  <si>
    <t>In God We Trust, Inc.</t>
  </si>
  <si>
    <t>Riot</t>
  </si>
  <si>
    <t>Too Drunk to Fuck</t>
  </si>
  <si>
    <t>Chemical Warfare</t>
  </si>
  <si>
    <t>Deafheaven</t>
  </si>
  <si>
    <t>Dream House</t>
  </si>
  <si>
    <t>Sunbather</t>
  </si>
  <si>
    <t>The Pecan Tree</t>
  </si>
  <si>
    <t>Honeycomb</t>
  </si>
  <si>
    <t>Ordinary Corrupt Human Love</t>
  </si>
  <si>
    <t>Canary Yellow</t>
  </si>
  <si>
    <t>New Bermuda</t>
  </si>
  <si>
    <t>Great Mass of Color</t>
  </si>
  <si>
    <t>Infinite Granite</t>
  </si>
  <si>
    <t>Vertigo</t>
  </si>
  <si>
    <t>Mombasa</t>
  </si>
  <si>
    <t>Brought to the Water</t>
  </si>
  <si>
    <t>Death Cab for Cutie</t>
  </si>
  <si>
    <t>Transatlanticism</t>
  </si>
  <si>
    <t>A Movie Script Ending</t>
  </si>
  <si>
    <t>The Photo Album</t>
  </si>
  <si>
    <t>Soul Meets Body</t>
  </si>
  <si>
    <t>Plans</t>
  </si>
  <si>
    <t>A Lack of Color</t>
  </si>
  <si>
    <t>Title and Registration</t>
  </si>
  <si>
    <t>What Sarah Said</t>
  </si>
  <si>
    <t>Marching Bands of Manhattan</t>
  </si>
  <si>
    <t>The New Year</t>
  </si>
  <si>
    <t>I Will Possess Your Heart</t>
  </si>
  <si>
    <t>Narrow Stairs</t>
  </si>
  <si>
    <t>Title Track</t>
  </si>
  <si>
    <t>We Have the Facts and We're Voting Yes</t>
  </si>
  <si>
    <t>Death from Above 1979</t>
  </si>
  <si>
    <t>Romantic Rights</t>
  </si>
  <si>
    <t>You're a Woman, I'm a Machine</t>
  </si>
  <si>
    <t>Right On, Frankenstein!</t>
  </si>
  <si>
    <t>The Physical World</t>
  </si>
  <si>
    <t>Turn It Out</t>
  </si>
  <si>
    <t>Going Steady</t>
  </si>
  <si>
    <t>Black History Month</t>
  </si>
  <si>
    <t>Trainwreck 1979</t>
  </si>
  <si>
    <t>Nomad</t>
  </si>
  <si>
    <t>Outrage! Is Now</t>
  </si>
  <si>
    <t>Dead Womb</t>
  </si>
  <si>
    <t>Heads Up EP</t>
  </si>
  <si>
    <t>Holy Books</t>
  </si>
  <si>
    <t>White is Red</t>
  </si>
  <si>
    <t>Hacker</t>
  </si>
  <si>
    <t>On GP</t>
  </si>
  <si>
    <t>No Love</t>
  </si>
  <si>
    <t>Beware</t>
  </si>
  <si>
    <t>Get Got</t>
  </si>
  <si>
    <t>You Might Think He Loves You For Your Money...</t>
  </si>
  <si>
    <t>The Fever (Aye Aye)</t>
  </si>
  <si>
    <t>I've Seen Footage</t>
  </si>
  <si>
    <t>Inanimate Sensation</t>
  </si>
  <si>
    <t>Come Up and Get Me</t>
  </si>
  <si>
    <t>The Crane Wife 3</t>
  </si>
  <si>
    <t>The Engine Driver</t>
  </si>
  <si>
    <t>Here I Dreamt I was an Architect</t>
  </si>
  <si>
    <t>The Mariner's Revenge Song</t>
  </si>
  <si>
    <t>The Island</t>
  </si>
  <si>
    <t>On the Bus Mall</t>
  </si>
  <si>
    <t>O Valencia!</t>
  </si>
  <si>
    <t>The Legionnaire's Lament</t>
  </si>
  <si>
    <t>We Both Go Down Together</t>
  </si>
  <si>
    <t>California One / Youth and Beauty Brigade</t>
  </si>
  <si>
    <t>Deerhoof</t>
  </si>
  <si>
    <t>Milk Man</t>
  </si>
  <si>
    <t>The Perfect Me</t>
  </si>
  <si>
    <t>Friend Opportunity</t>
  </si>
  <si>
    <t>Dummy Discards a Heart</t>
  </si>
  <si>
    <t>Apple O'</t>
  </si>
  <si>
    <t>Spirit Ditties of No Tone</t>
  </si>
  <si>
    <t>The Runners Four</t>
  </si>
  <si>
    <t>Wrong Time Capsule</t>
  </si>
  <si>
    <t>Super Duper Rescue Heads!</t>
  </si>
  <si>
    <t>Deerhoof vs. Evil</t>
  </si>
  <si>
    <t>Running Thoughts</t>
  </si>
  <si>
    <t>Siriustar</t>
  </si>
  <si>
    <t>Apple Bomb</t>
  </si>
  <si>
    <t>There's That Grin</t>
  </si>
  <si>
    <t>Breakup Song</t>
  </si>
  <si>
    <t>Desire Lines</t>
  </si>
  <si>
    <t>Nothing Ever Happened</t>
  </si>
  <si>
    <t>Agoraphobia</t>
  </si>
  <si>
    <t>He Would Have Laughed</t>
  </si>
  <si>
    <t>Twilight at Carbon Lake</t>
  </si>
  <si>
    <t>Monomania</t>
  </si>
  <si>
    <t>Coronado</t>
  </si>
  <si>
    <t>Revival</t>
  </si>
  <si>
    <t>Never Stops</t>
  </si>
  <si>
    <t>Deftones</t>
  </si>
  <si>
    <t>Digital Bath</t>
  </si>
  <si>
    <t>White Pony</t>
  </si>
  <si>
    <t>Be Quiet and Drive (Far Away)</t>
  </si>
  <si>
    <t>Around the Fur</t>
  </si>
  <si>
    <t>Change (In the House of Flies)</t>
  </si>
  <si>
    <t>Passenger</t>
  </si>
  <si>
    <t>Knife Prty</t>
  </si>
  <si>
    <t>Pink Maggit</t>
  </si>
  <si>
    <t>Cherry Waves</t>
  </si>
  <si>
    <t>Saturday Night Wrist</t>
  </si>
  <si>
    <t>Rosemary</t>
  </si>
  <si>
    <t>Koi No Yokan</t>
  </si>
  <si>
    <t>Minerva</t>
  </si>
  <si>
    <t>My Own Summer (Shove It)</t>
  </si>
  <si>
    <t>Enjoy the Silence</t>
  </si>
  <si>
    <t>Never Let Me Down Again</t>
  </si>
  <si>
    <t>Policy of Truth</t>
  </si>
  <si>
    <t>Stripped</t>
  </si>
  <si>
    <t>But Not Tonight</t>
  </si>
  <si>
    <t>Black Celebration</t>
  </si>
  <si>
    <t>Halo</t>
  </si>
  <si>
    <t>In Your Room</t>
  </si>
  <si>
    <t>People Are People</t>
  </si>
  <si>
    <t>Bay of Pigs</t>
  </si>
  <si>
    <t>Suicide Demo for Kara Walker</t>
  </si>
  <si>
    <t>Rubies</t>
  </si>
  <si>
    <t>Kaputt</t>
  </si>
  <si>
    <t>The Bad Arts</t>
  </si>
  <si>
    <t>Savage Night at the Opera</t>
  </si>
  <si>
    <t>European Oils</t>
  </si>
  <si>
    <t>Dream Lover</t>
  </si>
  <si>
    <t>Blue Eyes</t>
  </si>
  <si>
    <t>Devo</t>
  </si>
  <si>
    <t>Jocko Homo</t>
  </si>
  <si>
    <t>Q: Are We Not Men? A: We Are Devo!</t>
  </si>
  <si>
    <t>Gut Feeling / (Slap Your Mammy)</t>
  </si>
  <si>
    <t>Uncontrollable Urge</t>
  </si>
  <si>
    <t>Girl U Want</t>
  </si>
  <si>
    <t>Freedom of Choice</t>
  </si>
  <si>
    <t>Smart Patrol / Mr. DNA</t>
  </si>
  <si>
    <t>Duty Now for the Future</t>
  </si>
  <si>
    <t>Mongoloid</t>
  </si>
  <si>
    <t>(I Can't Get No) Satisfaction</t>
  </si>
  <si>
    <t>Beautiful World</t>
  </si>
  <si>
    <t>New Traditionalists</t>
  </si>
  <si>
    <t>Whip It</t>
  </si>
  <si>
    <t>S.I.B. (Swelling Itching Brain)</t>
  </si>
  <si>
    <t>DIIV</t>
  </si>
  <si>
    <t>Blankenship</t>
  </si>
  <si>
    <t>Deceiver</t>
  </si>
  <si>
    <t>Doused</t>
  </si>
  <si>
    <t>Oshin</t>
  </si>
  <si>
    <t>Bent (Roi's Song)</t>
  </si>
  <si>
    <t>Is the Is Are</t>
  </si>
  <si>
    <t>Dopamine</t>
  </si>
  <si>
    <t>Skin Game</t>
  </si>
  <si>
    <t>Like Before You Were Born</t>
  </si>
  <si>
    <t>How Long Have You Known?</t>
  </si>
  <si>
    <t>Under the Sun</t>
  </si>
  <si>
    <t>Human</t>
  </si>
  <si>
    <t>Follow</t>
  </si>
  <si>
    <t>Stillness Is the Move</t>
  </si>
  <si>
    <t>Swing Lo Magellan</t>
  </si>
  <si>
    <t>Useful Chamber</t>
  </si>
  <si>
    <t>Temecula Sunrise</t>
  </si>
  <si>
    <t>About to Die</t>
  </si>
  <si>
    <t>Cannibal Resource</t>
  </si>
  <si>
    <t>Two Doves</t>
  </si>
  <si>
    <t>Up in Hudson</t>
  </si>
  <si>
    <t>Gun Has No Trigger</t>
  </si>
  <si>
    <t>Dance for You</t>
  </si>
  <si>
    <t>The City</t>
  </si>
  <si>
    <t>What Do You Want Me to Say?</t>
  </si>
  <si>
    <t>You are Invited</t>
  </si>
  <si>
    <t>A Life of Possibilities</t>
  </si>
  <si>
    <t>Spider in the Snow</t>
  </si>
  <si>
    <t>The Ice of Boston</t>
  </si>
  <si>
    <t>Memory Machine</t>
  </si>
  <si>
    <t>Back and Forth</t>
  </si>
  <si>
    <t>Gyroscope</t>
  </si>
  <si>
    <t>Ellen and Ben</t>
  </si>
  <si>
    <t>The Breeze</t>
  </si>
  <si>
    <t>Where'd All the Time Go?</t>
  </si>
  <si>
    <t>Shadow People</t>
  </si>
  <si>
    <t>How Long Must I Wait?</t>
  </si>
  <si>
    <t>Say Something</t>
  </si>
  <si>
    <t>Army of Ancients</t>
  </si>
  <si>
    <t>Ain't it Strange</t>
  </si>
  <si>
    <t>The Rabbit, the Bat, and the Reindeer</t>
  </si>
  <si>
    <t>Jackie Wants a Black Eye</t>
  </si>
  <si>
    <t>Duster</t>
  </si>
  <si>
    <t>Stratosphere</t>
  </si>
  <si>
    <t>Gold Dust</t>
  </si>
  <si>
    <t>Cooking</t>
  </si>
  <si>
    <t>Contemporary Movement</t>
  </si>
  <si>
    <t>Heading for the Door</t>
  </si>
  <si>
    <t>Earth Moon Transit</t>
  </si>
  <si>
    <t>Reed to Hillsborough</t>
  </si>
  <si>
    <t>The Breakup Suite</t>
  </si>
  <si>
    <t>Unrecovery</t>
  </si>
  <si>
    <t>Topical Solution</t>
  </si>
  <si>
    <t>Earl Sweatshirt</t>
  </si>
  <si>
    <t>Azucar</t>
  </si>
  <si>
    <t>Some Rap Songs</t>
  </si>
  <si>
    <t>Chum</t>
  </si>
  <si>
    <t>Doris</t>
  </si>
  <si>
    <t>Shattered Dreams</t>
  </si>
  <si>
    <t>The Mint</t>
  </si>
  <si>
    <t>Ontheway!</t>
  </si>
  <si>
    <t>Hive</t>
  </si>
  <si>
    <t>East</t>
  </si>
  <si>
    <t>Feet of Clay</t>
  </si>
  <si>
    <t>Sick!</t>
  </si>
  <si>
    <t>Sunday</t>
  </si>
  <si>
    <t>Nowhere2go</t>
  </si>
  <si>
    <t>The Cutter</t>
  </si>
  <si>
    <t>Bring On the Dancing Horses</t>
  </si>
  <si>
    <t>The Killing Moon</t>
  </si>
  <si>
    <t>Clay</t>
  </si>
  <si>
    <t>Over the Wall</t>
  </si>
  <si>
    <t>Crystal Days</t>
  </si>
  <si>
    <t>The Back of Love</t>
  </si>
  <si>
    <t>Rescue</t>
  </si>
  <si>
    <t>Seven Seas</t>
  </si>
  <si>
    <t>Elbow</t>
  </si>
  <si>
    <t>The Bones of You</t>
  </si>
  <si>
    <t>The Seldom Seen Kid</t>
  </si>
  <si>
    <t>One Day Like This</t>
  </si>
  <si>
    <t>Mirrorball</t>
  </si>
  <si>
    <t>The Loneliness of a Tower Crane Driver</t>
  </si>
  <si>
    <t>Fugitive Motel</t>
  </si>
  <si>
    <t>Cast of Thousands</t>
  </si>
  <si>
    <t>Great Expectations</t>
  </si>
  <si>
    <t>Leaders of the Free World</t>
  </si>
  <si>
    <t>Lippy Kids</t>
  </si>
  <si>
    <t>Build a Rocket Boys!</t>
  </si>
  <si>
    <t>Station Approach</t>
  </si>
  <si>
    <t>My Sad Captains</t>
  </si>
  <si>
    <t>The Take Off and Landing of Everything</t>
  </si>
  <si>
    <t>Grounds for Divorce</t>
  </si>
  <si>
    <t>Elliott Smith</t>
  </si>
  <si>
    <t>Angeles</t>
  </si>
  <si>
    <t>Either/Or</t>
  </si>
  <si>
    <t>Between the Bars</t>
  </si>
  <si>
    <t>Waltz #2</t>
  </si>
  <si>
    <t>XO</t>
  </si>
  <si>
    <t>Ballad of Big Nothing</t>
  </si>
  <si>
    <t>Say Yes</t>
  </si>
  <si>
    <t>Needle In the Hay</t>
  </si>
  <si>
    <t>King's Crossing</t>
  </si>
  <si>
    <t>From a Basement on the Hill</t>
  </si>
  <si>
    <t>Alameda</t>
  </si>
  <si>
    <t>St. Ides Heaven</t>
  </si>
  <si>
    <t>No Name #1</t>
  </si>
  <si>
    <t>Roman Candle</t>
  </si>
  <si>
    <t>Radio Radio</t>
  </si>
  <si>
    <t>Oliver's Army</t>
  </si>
  <si>
    <t>Welcome to the Working Week</t>
  </si>
  <si>
    <t>Alison</t>
  </si>
  <si>
    <t>Beyond Belief</t>
  </si>
  <si>
    <t>Pump It Up</t>
  </si>
  <si>
    <t>Accidents Will Happen</t>
  </si>
  <si>
    <t>(I Don't Want to Go to) Chelsea</t>
  </si>
  <si>
    <t>No Action</t>
  </si>
  <si>
    <t>Watching the Detectives</t>
  </si>
  <si>
    <t>No Reptiles</t>
  </si>
  <si>
    <t>Night of the Long Knives</t>
  </si>
  <si>
    <t>Cough Cough</t>
  </si>
  <si>
    <t>To the Blade</t>
  </si>
  <si>
    <t>Kemosabe</t>
  </si>
  <si>
    <t>Get to Heaven</t>
  </si>
  <si>
    <t>Blast Doors</t>
  </si>
  <si>
    <t>Spring/Sun/Winter/Dread</t>
  </si>
  <si>
    <t>Distant Past</t>
  </si>
  <si>
    <t>Regret</t>
  </si>
  <si>
    <t>Your Hand in Mine</t>
  </si>
  <si>
    <t>The Only Moment We Were Alone</t>
  </si>
  <si>
    <t>First Breath After Coma</t>
  </si>
  <si>
    <t>Greet Death</t>
  </si>
  <si>
    <t>The Birth and Death of the Day</t>
  </si>
  <si>
    <t>Have You Passed Through This Night?</t>
  </si>
  <si>
    <t>So Long, Lonesome</t>
  </si>
  <si>
    <t>Last Known Surroundings</t>
  </si>
  <si>
    <t>Catastrophe and the Cure</t>
  </si>
  <si>
    <t>Let Me Back In</t>
  </si>
  <si>
    <t>The Classical</t>
  </si>
  <si>
    <t>Garden</t>
  </si>
  <si>
    <t>Paintwork</t>
  </si>
  <si>
    <t>Totally Wired</t>
  </si>
  <si>
    <t>Hip Priest</t>
  </si>
  <si>
    <t>Eat Y'self Fitter</t>
  </si>
  <si>
    <t>Blindness</t>
  </si>
  <si>
    <t>Frightened</t>
  </si>
  <si>
    <t>New Face in Hell</t>
  </si>
  <si>
    <t>Barmy</t>
  </si>
  <si>
    <t>Holy Shit</t>
  </si>
  <si>
    <t>Chateau Lobby #4 (in C for Two Virgins)</t>
  </si>
  <si>
    <t>I Love You, Honeybear</t>
  </si>
  <si>
    <t>Pure Comedy</t>
  </si>
  <si>
    <t>The Night Josh Tillman Came to Our Apt.</t>
  </si>
  <si>
    <t>I Went to the Store One Day</t>
  </si>
  <si>
    <t>Hollywood Forever Cemetery Sings</t>
  </si>
  <si>
    <t>So I'm Growing Old on Magic Mountain</t>
  </si>
  <si>
    <t>Leaving LA</t>
  </si>
  <si>
    <t>Bored in the USA</t>
  </si>
  <si>
    <t>I Feel It All</t>
  </si>
  <si>
    <t>Mushaboom</t>
  </si>
  <si>
    <t>Any Party</t>
  </si>
  <si>
    <t>My Moon My Man</t>
  </si>
  <si>
    <t>Pleasure</t>
  </si>
  <si>
    <t>Brandy Alexander</t>
  </si>
  <si>
    <t>Anti-Pioneer</t>
  </si>
  <si>
    <t>Past in Present</t>
  </si>
  <si>
    <t>One Evening</t>
  </si>
  <si>
    <t>FIDLAR</t>
  </si>
  <si>
    <t xml:space="preserve">Total Points </t>
  </si>
  <si>
    <t>No Waves</t>
  </si>
  <si>
    <t>Cheap Beer</t>
  </si>
  <si>
    <t>West Coast</t>
  </si>
  <si>
    <t>Too</t>
  </si>
  <si>
    <t>Stoked and Broke</t>
  </si>
  <si>
    <t>Wake Bake Skate</t>
  </si>
  <si>
    <t>Cocaine</t>
  </si>
  <si>
    <t>Max Can't Surf</t>
  </si>
  <si>
    <t>40oz. on Repeat</t>
  </si>
  <si>
    <t>5 to 9</t>
  </si>
  <si>
    <t>White on White</t>
  </si>
  <si>
    <t>Fiona Apple</t>
  </si>
  <si>
    <t>Every Single Night</t>
  </si>
  <si>
    <t>The Idler Wheel...</t>
  </si>
  <si>
    <t>Paper Bag</t>
  </si>
  <si>
    <t>When the Pawn...</t>
  </si>
  <si>
    <t>I Want You to Love Me</t>
  </si>
  <si>
    <t>Fetch the Bolt Cutters</t>
  </si>
  <si>
    <t>Werewolf</t>
  </si>
  <si>
    <t>Cosmonauts</t>
  </si>
  <si>
    <t>I Know</t>
  </si>
  <si>
    <t>Hot Knife</t>
  </si>
  <si>
    <t>Anything We Want</t>
  </si>
  <si>
    <t>Shameika</t>
  </si>
  <si>
    <t>Heavy Balloon</t>
  </si>
  <si>
    <t>Fishmans</t>
  </si>
  <si>
    <t>Long Season</t>
  </si>
  <si>
    <t>Uchu Nippon Setagaya</t>
  </si>
  <si>
    <t>Walking in the Rhythm</t>
  </si>
  <si>
    <t>Aloha Polydor</t>
  </si>
  <si>
    <t>In the Flight</t>
  </si>
  <si>
    <t>Baby Blue</t>
  </si>
  <si>
    <t>Kuuchuu Camp</t>
  </si>
  <si>
    <t>King Master George</t>
  </si>
  <si>
    <t>Weather Report</t>
  </si>
  <si>
    <t>Cellophane</t>
  </si>
  <si>
    <t>Two Weeks</t>
  </si>
  <si>
    <t>Pendulum</t>
  </si>
  <si>
    <t>Home with You</t>
  </si>
  <si>
    <t>Fallen Alien</t>
  </si>
  <si>
    <t>In Time</t>
  </si>
  <si>
    <t>Mary Magdalene</t>
  </si>
  <si>
    <t>Water Me</t>
  </si>
  <si>
    <t>Sad Day</t>
  </si>
  <si>
    <t>Glass and Patron</t>
  </si>
  <si>
    <t>The Flaming Lips</t>
  </si>
  <si>
    <t>Bad Days</t>
  </si>
  <si>
    <t>Clouds Taste Metallic</t>
  </si>
  <si>
    <t>Silver Trembling Hands</t>
  </si>
  <si>
    <t>Embryonic</t>
  </si>
  <si>
    <t>Fleet Foxes</t>
  </si>
  <si>
    <t>Helplessness Blues</t>
  </si>
  <si>
    <t>Third of May / Odaigahara</t>
  </si>
  <si>
    <t>Crack-Up</t>
  </si>
  <si>
    <t>Mykonos</t>
  </si>
  <si>
    <t>Sun Giant</t>
  </si>
  <si>
    <t>Blue Ridge Mountains</t>
  </si>
  <si>
    <t>The Shrine / An Argument</t>
  </si>
  <si>
    <t>Grown Ocean</t>
  </si>
  <si>
    <t>White Winter Hymnal</t>
  </si>
  <si>
    <t>Ragged Wood</t>
  </si>
  <si>
    <t>Montezuma</t>
  </si>
  <si>
    <t>Sunblind</t>
  </si>
  <si>
    <t>Shore</t>
  </si>
  <si>
    <t>Queen of Peace</t>
  </si>
  <si>
    <t>Cosmic Love</t>
  </si>
  <si>
    <t>Delilah</t>
  </si>
  <si>
    <t>Shake It Out</t>
  </si>
  <si>
    <t>What the Water Gave Me</t>
  </si>
  <si>
    <t>Hunger</t>
  </si>
  <si>
    <t>What Kind of Man</t>
  </si>
  <si>
    <t>Dog Days are Over</t>
  </si>
  <si>
    <t>How Big, How Blue, How Beautiful</t>
  </si>
  <si>
    <t>Ship to Wreck</t>
  </si>
  <si>
    <t>Never Catch Me</t>
  </si>
  <si>
    <t>Do the Astral Plane</t>
  </si>
  <si>
    <t>Zodiac Shit</t>
  </si>
  <si>
    <t>Coronus, the Terminator</t>
  </si>
  <si>
    <t>...And the World Laughs with You</t>
  </si>
  <si>
    <t>Parisian Goldfish</t>
  </si>
  <si>
    <t>Massage Situation</t>
  </si>
  <si>
    <t>Camel</t>
  </si>
  <si>
    <t>MmmHmm</t>
  </si>
  <si>
    <t>Computer Face//Pure Being</t>
  </si>
  <si>
    <t>Spanish Sahara</t>
  </si>
  <si>
    <t>Inhaler</t>
  </si>
  <si>
    <t>Two Steps, Twice</t>
  </si>
  <si>
    <t>Blue Blood</t>
  </si>
  <si>
    <t>Red Socks Pugie</t>
  </si>
  <si>
    <t>My Number</t>
  </si>
  <si>
    <t>Olympic Airways</t>
  </si>
  <si>
    <t>This Orient</t>
  </si>
  <si>
    <t>Cassius</t>
  </si>
  <si>
    <t>After Glow</t>
  </si>
  <si>
    <t>Foster The People</t>
  </si>
  <si>
    <t>Houdini</t>
  </si>
  <si>
    <t>Torches</t>
  </si>
  <si>
    <t>Helena Beat</t>
  </si>
  <si>
    <t>Pseudologia Fantastica</t>
  </si>
  <si>
    <t>Supermodel</t>
  </si>
  <si>
    <t>Coming of Age</t>
  </si>
  <si>
    <t>Pumped Up Kicks</t>
  </si>
  <si>
    <t>Call It What You Want</t>
  </si>
  <si>
    <t>SHC</t>
  </si>
  <si>
    <t>Sacred Hearts Club</t>
  </si>
  <si>
    <t>Lambs Wool</t>
  </si>
  <si>
    <t>In the Darkest of Nights, Let the Birds Sing (EP)</t>
  </si>
  <si>
    <t>Sit Next to Me</t>
  </si>
  <si>
    <t>Best Friend</t>
  </si>
  <si>
    <t>Mexican Wine</t>
  </si>
  <si>
    <t>Radiation Vibe</t>
  </si>
  <si>
    <t>Valley Winter Song</t>
  </si>
  <si>
    <t>Hey Julie</t>
  </si>
  <si>
    <t>Hackensack</t>
  </si>
  <si>
    <t>Red Dragon Tattoo</t>
  </si>
  <si>
    <t>Someone's Gonna Break Your Heart</t>
  </si>
  <si>
    <t>The Summer Place</t>
  </si>
  <si>
    <t>Sink to the Bottom</t>
  </si>
  <si>
    <t>All Kinds of Time</t>
  </si>
  <si>
    <t>Four Tet</t>
  </si>
  <si>
    <t>Love Cry</t>
  </si>
  <si>
    <t>There Is Love in You</t>
  </si>
  <si>
    <t>Sing</t>
  </si>
  <si>
    <t>Two Thousand and Seventeen</t>
  </si>
  <si>
    <t>New Energy</t>
  </si>
  <si>
    <t>She Just Likes to Fight</t>
  </si>
  <si>
    <t>Locked</t>
  </si>
  <si>
    <t>Pink</t>
  </si>
  <si>
    <t>Teenage Birdsong</t>
  </si>
  <si>
    <t>Sixteen Oceans</t>
  </si>
  <si>
    <t>Angel Echoes</t>
  </si>
  <si>
    <t>Unspoken</t>
  </si>
  <si>
    <t>Rounds</t>
  </si>
  <si>
    <t>Slow Jam</t>
  </si>
  <si>
    <t>Baby</t>
  </si>
  <si>
    <t>Foxing</t>
  </si>
  <si>
    <t>Grand Paradise</t>
  </si>
  <si>
    <t>Nearer My God</t>
  </si>
  <si>
    <t>The Medic</t>
  </si>
  <si>
    <t>The Albatross</t>
  </si>
  <si>
    <t>Rory</t>
  </si>
  <si>
    <t>Lich Prince</t>
  </si>
  <si>
    <t>The Magdalene</t>
  </si>
  <si>
    <t>Dealer</t>
  </si>
  <si>
    <t>Slapstick</t>
  </si>
  <si>
    <t>Glass Coughs</t>
  </si>
  <si>
    <t>Inuit</t>
  </si>
  <si>
    <t>Night Channels</t>
  </si>
  <si>
    <t>Shuggie</t>
  </si>
  <si>
    <t>On Blue Mountain</t>
  </si>
  <si>
    <t>San Francisco</t>
  </si>
  <si>
    <t>How Can You Really</t>
  </si>
  <si>
    <t>No Destruction</t>
  </si>
  <si>
    <t>Make It Known</t>
  </si>
  <si>
    <t>Follow the Leader</t>
  </si>
  <si>
    <t>Coulda Been My Love</t>
  </si>
  <si>
    <t>We Are the 21st Century Ambassadors of Peace &amp; Magic</t>
  </si>
  <si>
    <t>Avalon</t>
  </si>
  <si>
    <t>Frank Ocean</t>
  </si>
  <si>
    <t>Self Control</t>
  </si>
  <si>
    <t>Blonde</t>
  </si>
  <si>
    <t>Nights</t>
  </si>
  <si>
    <t>Pyramids</t>
  </si>
  <si>
    <t>Channel Orange</t>
  </si>
  <si>
    <t>Ivy</t>
  </si>
  <si>
    <t>White Ferrari</t>
  </si>
  <si>
    <t>Nikes</t>
  </si>
  <si>
    <t>Chanel</t>
  </si>
  <si>
    <t>Solo</t>
  </si>
  <si>
    <t>Super Rich Kids</t>
  </si>
  <si>
    <t>Seigfried</t>
  </si>
  <si>
    <t>The Modern Leper</t>
  </si>
  <si>
    <t>My Backwards Walk</t>
  </si>
  <si>
    <t>Poke</t>
  </si>
  <si>
    <t>Head Rolls Off</t>
  </si>
  <si>
    <t>Keep Yourself Warm</t>
  </si>
  <si>
    <t>Swim Until You Can't See Land</t>
  </si>
  <si>
    <t>Good Arms vs. Bad Arms</t>
  </si>
  <si>
    <t>The Loneliness and the Scream</t>
  </si>
  <si>
    <t>The Woodpile</t>
  </si>
  <si>
    <t>Holy</t>
  </si>
  <si>
    <t>Son the Father</t>
  </si>
  <si>
    <t>Queen of Hearts</t>
  </si>
  <si>
    <t>The Other Shoe</t>
  </si>
  <si>
    <t>Black Albino Bones</t>
  </si>
  <si>
    <t>Turn the Season</t>
  </si>
  <si>
    <t>Police</t>
  </si>
  <si>
    <t>David Comes to Life</t>
  </si>
  <si>
    <t>Running On Nothing</t>
  </si>
  <si>
    <t>Crusades</t>
  </si>
  <si>
    <t>Serve Me Right</t>
  </si>
  <si>
    <t>Waiting Room</t>
  </si>
  <si>
    <t>Epic Problem</t>
  </si>
  <si>
    <t>Smallpox Champion</t>
  </si>
  <si>
    <t>Do You Like Me</t>
  </si>
  <si>
    <t>Merchandise</t>
  </si>
  <si>
    <t>Repeater</t>
  </si>
  <si>
    <t>Bed for the Scraping</t>
  </si>
  <si>
    <t>Full Disclosure</t>
  </si>
  <si>
    <t>Blueprint</t>
  </si>
  <si>
    <t>Suggestion</t>
  </si>
  <si>
    <t>Seasons (Waiting on You)</t>
  </si>
  <si>
    <t>Balance</t>
  </si>
  <si>
    <t>Walking Through That Door</t>
  </si>
  <si>
    <t>Long Flight</t>
  </si>
  <si>
    <t>A Dream of You and Me</t>
  </si>
  <si>
    <t>Vireo's Eye</t>
  </si>
  <si>
    <t>Tin Man</t>
  </si>
  <si>
    <t>Inch of Dust</t>
  </si>
  <si>
    <t>Before the Bridge</t>
  </si>
  <si>
    <t>Sun in the Morning</t>
  </si>
  <si>
    <t>Strange</t>
  </si>
  <si>
    <t>Tugboat</t>
  </si>
  <si>
    <t>Blue Thunder</t>
  </si>
  <si>
    <t>Decomposing Trees</t>
  </si>
  <si>
    <t>Fourth of July</t>
  </si>
  <si>
    <t>Snowstorm</t>
  </si>
  <si>
    <t>When Will You Come Home</t>
  </si>
  <si>
    <t>Ceremony</t>
  </si>
  <si>
    <t>Blue Thunder EP</t>
  </si>
  <si>
    <t>Don't Let Our Youth Go to Waste</t>
  </si>
  <si>
    <t>Leave the Planet</t>
  </si>
  <si>
    <t>The '59 Sound</t>
  </si>
  <si>
    <t>Here's Looking at You, Kid</t>
  </si>
  <si>
    <t>Blue Jeans &amp; White T-Shirts</t>
  </si>
  <si>
    <t>The Backseat</t>
  </si>
  <si>
    <t>"45"</t>
  </si>
  <si>
    <t>Old White Lincoln</t>
  </si>
  <si>
    <t>Mae</t>
  </si>
  <si>
    <t>High Lonesome</t>
  </si>
  <si>
    <t>George Harrison</t>
  </si>
  <si>
    <t>Isn't It a Pity</t>
  </si>
  <si>
    <t>All Things Must Pass</t>
  </si>
  <si>
    <t>What is Life</t>
  </si>
  <si>
    <t>My Sweet Lord</t>
  </si>
  <si>
    <t>Ballad of Sir Frankie Crisp</t>
  </si>
  <si>
    <t>Wah-Wah</t>
  </si>
  <si>
    <t>Give Me Love</t>
  </si>
  <si>
    <t>Living in the Material World</t>
  </si>
  <si>
    <t>Run of the Mill</t>
  </si>
  <si>
    <t>Awaiting On You All</t>
  </si>
  <si>
    <t>If Not For You</t>
  </si>
  <si>
    <t>Hellhole Ratrace</t>
  </si>
  <si>
    <t>Lust for Life</t>
  </si>
  <si>
    <t>Vomit</t>
  </si>
  <si>
    <t>Alex</t>
  </si>
  <si>
    <t>Heartbreaker</t>
  </si>
  <si>
    <t>Honey Bunny</t>
  </si>
  <si>
    <t>Carolina</t>
  </si>
  <si>
    <t>Substance</t>
  </si>
  <si>
    <t>Glass Animals</t>
  </si>
  <si>
    <t>Life Itself</t>
  </si>
  <si>
    <t>How to Be a Human Being</t>
  </si>
  <si>
    <t>Pork Soda</t>
  </si>
  <si>
    <t>Pools</t>
  </si>
  <si>
    <t>Zaba</t>
  </si>
  <si>
    <t>Gooey</t>
  </si>
  <si>
    <t>Black Mambo</t>
  </si>
  <si>
    <t>Agnes</t>
  </si>
  <si>
    <t>Youth</t>
  </si>
  <si>
    <t>The Other Side of Paradise</t>
  </si>
  <si>
    <t>Hazey</t>
  </si>
  <si>
    <t>Season 2 Episode 3</t>
  </si>
  <si>
    <t>The Go! Team</t>
  </si>
  <si>
    <t>Apollo Throwdown</t>
  </si>
  <si>
    <t>Rolling Blackouts</t>
  </si>
  <si>
    <t>Everyone's a VIP to Someone</t>
  </si>
  <si>
    <t>Thunder, Lightning, Strike</t>
  </si>
  <si>
    <t>Huddle Formation</t>
  </si>
  <si>
    <t>The Scene Between</t>
  </si>
  <si>
    <t>Buy Nothing Day</t>
  </si>
  <si>
    <t>Get It Together</t>
  </si>
  <si>
    <t>Ladyflash</t>
  </si>
  <si>
    <t>Semicircle Song</t>
  </si>
  <si>
    <t>Semicircle</t>
  </si>
  <si>
    <t>Mayday</t>
  </si>
  <si>
    <t>Reason Left to Destroy</t>
  </si>
  <si>
    <t>The Art of Getting By</t>
  </si>
  <si>
    <t>Waking the Jetstream</t>
  </si>
  <si>
    <t>The Go-Betweens</t>
  </si>
  <si>
    <t>N/A</t>
  </si>
  <si>
    <t>Streets of Your Town</t>
  </si>
  <si>
    <t>16 Lovers Lane</t>
  </si>
  <si>
    <t>Spring Rain</t>
  </si>
  <si>
    <t>Liberty Belle and the Black Diamond Express</t>
  </si>
  <si>
    <t>Dive for Your Memory</t>
  </si>
  <si>
    <t>Twin Layers of Lightning</t>
  </si>
  <si>
    <t>Quiet Heart</t>
  </si>
  <si>
    <t>Right Here</t>
  </si>
  <si>
    <t>Tallulah</t>
  </si>
  <si>
    <t>Bye Bye Pride</t>
  </si>
  <si>
    <t>Was There Anything I Could Do?</t>
  </si>
  <si>
    <t>Love Goes On</t>
  </si>
  <si>
    <t>Apology Accepted</t>
  </si>
  <si>
    <t>The Dead Flag Blues</t>
  </si>
  <si>
    <t>Storm</t>
  </si>
  <si>
    <t>Sleep</t>
  </si>
  <si>
    <t>Mladic</t>
  </si>
  <si>
    <t>Moya</t>
  </si>
  <si>
    <t>BBF3</t>
  </si>
  <si>
    <t>East Hastings</t>
  </si>
  <si>
    <t>Static</t>
  </si>
  <si>
    <t>Antennas to Heaven</t>
  </si>
  <si>
    <t>Rockets Fall on Rocket Falls</t>
  </si>
  <si>
    <t>On Melancholy Hill</t>
  </si>
  <si>
    <t>Feel Good Inc.</t>
  </si>
  <si>
    <t>Empire Ants</t>
  </si>
  <si>
    <t>Rhinestone Eyes</t>
  </si>
  <si>
    <t>Clint Eastwood</t>
  </si>
  <si>
    <t>DARE</t>
  </si>
  <si>
    <t>Stylo</t>
  </si>
  <si>
    <t>Plastic Beach</t>
  </si>
  <si>
    <t>Dirty Harry</t>
  </si>
  <si>
    <t>Aries</t>
  </si>
  <si>
    <t>Song Machine, Season One: Strange Times</t>
  </si>
  <si>
    <t>November Has Come</t>
  </si>
  <si>
    <t>He's Simple, He's Dumb, He's the Pilot</t>
  </si>
  <si>
    <t>The Crystal Lake</t>
  </si>
  <si>
    <t>Now It's On</t>
  </si>
  <si>
    <t>Summer Here Kids</t>
  </si>
  <si>
    <t>Hewlett's Daughter</t>
  </si>
  <si>
    <t>Stray Dog and the Chocolate Shake</t>
  </si>
  <si>
    <t>Levitz</t>
  </si>
  <si>
    <t>I'm on Standby</t>
  </si>
  <si>
    <t>Laughing Stock</t>
  </si>
  <si>
    <t>Grateful Dead</t>
  </si>
  <si>
    <t>Dark Star</t>
  </si>
  <si>
    <t>single</t>
  </si>
  <si>
    <t>Eyes of the World</t>
  </si>
  <si>
    <t>Wake of the Flood</t>
  </si>
  <si>
    <t>Box of Rain</t>
  </si>
  <si>
    <t>American Beauty</t>
  </si>
  <si>
    <t>Scarlet Begonias</t>
  </si>
  <si>
    <t>From the Mars Hotel</t>
  </si>
  <si>
    <t>Sugar Magnolia</t>
  </si>
  <si>
    <t>Ripple</t>
  </si>
  <si>
    <t>Uncle John's Band</t>
  </si>
  <si>
    <t>Workingman's Dead</t>
  </si>
  <si>
    <t>Friend of the Devil</t>
  </si>
  <si>
    <t>China Cat Sunflower</t>
  </si>
  <si>
    <t>Aoxomoxoa</t>
  </si>
  <si>
    <t>Jack Straw</t>
  </si>
  <si>
    <t>Europe '72</t>
  </si>
  <si>
    <t>Oblivion</t>
  </si>
  <si>
    <t>REALiTi</t>
  </si>
  <si>
    <t>Genesis</t>
  </si>
  <si>
    <t>Kill V. Maim</t>
  </si>
  <si>
    <t>Flesh Without Blood</t>
  </si>
  <si>
    <t>Be a Body</t>
  </si>
  <si>
    <t>Vanessa</t>
  </si>
  <si>
    <t>World Princess Part II</t>
  </si>
  <si>
    <t>Pin</t>
  </si>
  <si>
    <t>Circumambient</t>
  </si>
  <si>
    <t>Sleeping Ute</t>
  </si>
  <si>
    <t>Knife</t>
  </si>
  <si>
    <t>Ready, Able</t>
  </si>
  <si>
    <t>Yet Again</t>
  </si>
  <si>
    <t>While You Wait for the Others</t>
  </si>
  <si>
    <t>Sun in Your Eyes</t>
  </si>
  <si>
    <t>On a Neck, On a Spit</t>
  </si>
  <si>
    <t>Gun-Shy</t>
  </si>
  <si>
    <t>Three Rings</t>
  </si>
  <si>
    <t>Grouper</t>
  </si>
  <si>
    <t>Dragging a Dead Deer Up a Hill</t>
  </si>
  <si>
    <t>Headache</t>
  </si>
  <si>
    <t>Alien Observer</t>
  </si>
  <si>
    <t>A I A: Alien Observer</t>
  </si>
  <si>
    <t>Clearing</t>
  </si>
  <si>
    <t>Ruins</t>
  </si>
  <si>
    <t>Holding</t>
  </si>
  <si>
    <t>Moon is Sharp</t>
  </si>
  <si>
    <t>Vapor Trails</t>
  </si>
  <si>
    <t>Lighthouse</t>
  </si>
  <si>
    <t>Invisible</t>
  </si>
  <si>
    <t>Game of Pricks</t>
  </si>
  <si>
    <t>Echos Myron</t>
  </si>
  <si>
    <t>Tractor Rape Chain</t>
  </si>
  <si>
    <t>I Am a Scientist</t>
  </si>
  <si>
    <t>Smothered in Hugs</t>
  </si>
  <si>
    <t>Gold Star for Robot Boy</t>
  </si>
  <si>
    <t>Motor Away</t>
  </si>
  <si>
    <t>Over the Neptune/Mesh Gear Fox</t>
  </si>
  <si>
    <t>My Valuable Hunting Knife</t>
  </si>
  <si>
    <t>The Official Ironmen Rally Song</t>
  </si>
  <si>
    <t>HAIM</t>
  </si>
  <si>
    <t>The Steps</t>
  </si>
  <si>
    <t>Women in Music Pt. III</t>
  </si>
  <si>
    <t>The Wire</t>
  </si>
  <si>
    <t>Days Are Gone</t>
  </si>
  <si>
    <t>Summer Girl</t>
  </si>
  <si>
    <t>Now I'm In It</t>
  </si>
  <si>
    <t>Falling</t>
  </si>
  <si>
    <t>Gasoline</t>
  </si>
  <si>
    <t>I Know Alone</t>
  </si>
  <si>
    <t>Want You Back</t>
  </si>
  <si>
    <t>Something to Tell You</t>
  </si>
  <si>
    <t>Don't Save Me</t>
  </si>
  <si>
    <t>Have a Nice Life</t>
  </si>
  <si>
    <t>Earthmover</t>
  </si>
  <si>
    <t>Deathconsciousness</t>
  </si>
  <si>
    <t>Bloodhail</t>
  </si>
  <si>
    <t>I Don't Love</t>
  </si>
  <si>
    <t>The Big Gloom</t>
  </si>
  <si>
    <t>Holy Fucking Shit: 40,000</t>
  </si>
  <si>
    <t>A Quick One Before the Eternal Worm Devours Connecticut</t>
  </si>
  <si>
    <t>Deep, Deep</t>
  </si>
  <si>
    <t>Hunter</t>
  </si>
  <si>
    <t>Defenestration Song</t>
  </si>
  <si>
    <t>The Unnatural World</t>
  </si>
  <si>
    <t>Waiting for Black Metal Records to Come in the Mail</t>
  </si>
  <si>
    <t>Stuck Between Stations</t>
  </si>
  <si>
    <t>Your Little Hoodrat Friend</t>
  </si>
  <si>
    <t>Stevie Nix</t>
  </si>
  <si>
    <t>Constructive Summer</t>
  </si>
  <si>
    <t>The Swish</t>
  </si>
  <si>
    <t>You Can Make Him Like You</t>
  </si>
  <si>
    <t>How a Resurrection Really Feels</t>
  </si>
  <si>
    <t>Slapped Actress</t>
  </si>
  <si>
    <t>Cattle and the Creeping Things</t>
  </si>
  <si>
    <t>Banging Camp</t>
  </si>
  <si>
    <t>Prior Things</t>
  </si>
  <si>
    <t>Tibetan Pop Stars</t>
  </si>
  <si>
    <t>Waitress</t>
  </si>
  <si>
    <t>How Simple</t>
  </si>
  <si>
    <t>Somewhere a Judge</t>
  </si>
  <si>
    <t>Sister Cities</t>
  </si>
  <si>
    <t>The Knock</t>
  </si>
  <si>
    <t>Horseshoe Crabs</t>
  </si>
  <si>
    <t>Well-Dressed</t>
  </si>
  <si>
    <t>Look of Love</t>
  </si>
  <si>
    <t>Hüsker Dü</t>
  </si>
  <si>
    <t>Don't Want to Know If You Are Lonely</t>
  </si>
  <si>
    <t>Celebrated Summer</t>
  </si>
  <si>
    <t>Pink Turns to Blue</t>
  </si>
  <si>
    <t>Makes No Sense at All</t>
  </si>
  <si>
    <t>Girl Who Lives on Heaven Hill</t>
  </si>
  <si>
    <t>Chartered Trips</t>
  </si>
  <si>
    <t>I Apologize</t>
  </si>
  <si>
    <t>Something I Learned Today</t>
  </si>
  <si>
    <t>Green Eyes</t>
  </si>
  <si>
    <t>Turn On the News</t>
  </si>
  <si>
    <t>Iceage</t>
  </si>
  <si>
    <t>The Lord's Favorite</t>
  </si>
  <si>
    <t>Plowing Into the Field of Love</t>
  </si>
  <si>
    <t>Catch It</t>
  </si>
  <si>
    <t>Beyondless</t>
  </si>
  <si>
    <t>Morals</t>
  </si>
  <si>
    <t>You're Nothing</t>
  </si>
  <si>
    <t>Against the Moon</t>
  </si>
  <si>
    <t>Glassy Eyed, Dormant and Veiled</t>
  </si>
  <si>
    <t>How Many</t>
  </si>
  <si>
    <t>Hurrah</t>
  </si>
  <si>
    <t>Ecstasy</t>
  </si>
  <si>
    <t>IDLES</t>
  </si>
  <si>
    <t>Never Fight a Man With a Perm</t>
  </si>
  <si>
    <t>Joy as an Act of Resistance</t>
  </si>
  <si>
    <t>Colossus</t>
  </si>
  <si>
    <t>Mother</t>
  </si>
  <si>
    <t>Brutalism</t>
  </si>
  <si>
    <t>Danny Nedelko</t>
  </si>
  <si>
    <t>Samaritans</t>
  </si>
  <si>
    <t>I'm Scum</t>
  </si>
  <si>
    <t>1049 Gotho</t>
  </si>
  <si>
    <t>Well Done</t>
  </si>
  <si>
    <t>Television</t>
  </si>
  <si>
    <t>Model Village</t>
  </si>
  <si>
    <t>Ultra Mono</t>
  </si>
  <si>
    <t>Wish You Were Here</t>
  </si>
  <si>
    <t>The Warmth</t>
  </si>
  <si>
    <t>Sick Sad Little World</t>
  </si>
  <si>
    <t>Anna Molly</t>
  </si>
  <si>
    <t>Stellar</t>
  </si>
  <si>
    <t>Aqueous Transmission</t>
  </si>
  <si>
    <t>Summer Romance (Anti-Gravity Love Song)</t>
  </si>
  <si>
    <t>Redefine</t>
  </si>
  <si>
    <t>Dig</t>
  </si>
  <si>
    <t>Megalomaniac</t>
  </si>
  <si>
    <t>Injury Reserve</t>
  </si>
  <si>
    <t>Knees</t>
  </si>
  <si>
    <t>By the Time I Get to Phoenix</t>
  </si>
  <si>
    <t>Superman That</t>
  </si>
  <si>
    <t>Oh Shit!!!</t>
  </si>
  <si>
    <t>Floss</t>
  </si>
  <si>
    <t>Three Man Weave</t>
  </si>
  <si>
    <t>Jailbreak the Tesla</t>
  </si>
  <si>
    <t>Bye Storm</t>
  </si>
  <si>
    <t>Outside</t>
  </si>
  <si>
    <t>Top Picks for You</t>
  </si>
  <si>
    <t>North Pole</t>
  </si>
  <si>
    <t>Drive It Like It's Stolen</t>
  </si>
  <si>
    <t>S on Ya Chest</t>
  </si>
  <si>
    <t>Interpol</t>
  </si>
  <si>
    <t>Obstacle 1</t>
  </si>
  <si>
    <t>Turn on the Bright Lights</t>
  </si>
  <si>
    <t>PDA</t>
  </si>
  <si>
    <t>Untitled</t>
  </si>
  <si>
    <t>Evil</t>
  </si>
  <si>
    <t>Antics</t>
  </si>
  <si>
    <t>NYC</t>
  </si>
  <si>
    <t>The New</t>
  </si>
  <si>
    <t>Stella Was a Diver and She Was Always Down</t>
  </si>
  <si>
    <t>Leif Erikson</t>
  </si>
  <si>
    <t>Slow Hands</t>
  </si>
  <si>
    <t>All the Rage Back Home</t>
  </si>
  <si>
    <t>El Pintor</t>
  </si>
  <si>
    <t>The Trapeze Swinger</t>
  </si>
  <si>
    <t>Upward Over the Mountain</t>
  </si>
  <si>
    <t>Resurrection Fern</t>
  </si>
  <si>
    <t>Sodom, South Georgia</t>
  </si>
  <si>
    <t>Boy With a Coin</t>
  </si>
  <si>
    <t>Naked as We Came</t>
  </si>
  <si>
    <t>Jezebel</t>
  </si>
  <si>
    <t>Each Coming Night</t>
  </si>
  <si>
    <t>Walking Far From Home</t>
  </si>
  <si>
    <t>The Sea and the Rhythm</t>
  </si>
  <si>
    <t>Retrograde</t>
  </si>
  <si>
    <t>The Wilhelm Scream</t>
  </si>
  <si>
    <t>I Need a Forest Fire</t>
  </si>
  <si>
    <t>I Never Learnt to Share</t>
  </si>
  <si>
    <t>Life Round Here</t>
  </si>
  <si>
    <t>Radio Silence</t>
  </si>
  <si>
    <t>Choose Me</t>
  </si>
  <si>
    <t>Limit to Your Love</t>
  </si>
  <si>
    <t>Overgrown</t>
  </si>
  <si>
    <t>Janelle Monáe</t>
  </si>
  <si>
    <t>Cold War</t>
  </si>
  <si>
    <t>The ArchAndroid</t>
  </si>
  <si>
    <t>Tightrope</t>
  </si>
  <si>
    <t>Make Me Feel</t>
  </si>
  <si>
    <t>Dirty Computer</t>
  </si>
  <si>
    <t>Q.U.E.E.N.</t>
  </si>
  <si>
    <t>The Electric Lady</t>
  </si>
  <si>
    <t>Oh, Maker</t>
  </si>
  <si>
    <t>Locked Inside</t>
  </si>
  <si>
    <t>Screwed</t>
  </si>
  <si>
    <t>Electric Lady</t>
  </si>
  <si>
    <t>Dance Apocalyptic</t>
  </si>
  <si>
    <t>Mushrooms &amp; Roses</t>
  </si>
  <si>
    <t>Japanese Breakfast</t>
  </si>
  <si>
    <t>Paprika</t>
  </si>
  <si>
    <t>Jubilee</t>
  </si>
  <si>
    <t>Everybody Wants to Love You</t>
  </si>
  <si>
    <t>Psychopomp</t>
  </si>
  <si>
    <t>Diving Woman</t>
  </si>
  <si>
    <t>Soft Sounds from Another Planet</t>
  </si>
  <si>
    <t>Road Head</t>
  </si>
  <si>
    <t>Be Sweet</t>
  </si>
  <si>
    <t>In Heaven</t>
  </si>
  <si>
    <t>Kokomo, IN</t>
  </si>
  <si>
    <t>Posing in Bondage</t>
  </si>
  <si>
    <t>Boyish</t>
  </si>
  <si>
    <t>The Body is a Blade</t>
  </si>
  <si>
    <t>Jay Som</t>
  </si>
  <si>
    <t>Superbike</t>
  </si>
  <si>
    <t>Anak Ko</t>
  </si>
  <si>
    <t>The Bus Song</t>
  </si>
  <si>
    <t>Everybody Works</t>
  </si>
  <si>
    <t>Baybee</t>
  </si>
  <si>
    <t>Get Well</t>
  </si>
  <si>
    <t>Tenderness</t>
  </si>
  <si>
    <t>One More Time, Please</t>
  </si>
  <si>
    <t>Nighttime Drive</t>
  </si>
  <si>
    <t>If You Want It</t>
  </si>
  <si>
    <t>I Think You're Alright</t>
  </si>
  <si>
    <t>Lover, You Should've Come Over</t>
  </si>
  <si>
    <t>Grace</t>
  </si>
  <si>
    <t>Mojo Pin</t>
  </si>
  <si>
    <t>Last Goodbye</t>
  </si>
  <si>
    <t>Hallelujah</t>
  </si>
  <si>
    <t>So Real</t>
  </si>
  <si>
    <t>Dream Brother</t>
  </si>
  <si>
    <t>Forget Her</t>
  </si>
  <si>
    <t>Vancouver</t>
  </si>
  <si>
    <t>Everybody Here Wants You</t>
  </si>
  <si>
    <t>You, In Weird Cities</t>
  </si>
  <si>
    <t>Nausea</t>
  </si>
  <si>
    <t>We Begged 2 Explode</t>
  </si>
  <si>
    <t>I'm Serious, I'm Sorry</t>
  </si>
  <si>
    <t>...While You're Alive</t>
  </si>
  <si>
    <t>Pash Rash</t>
  </si>
  <si>
    <t>Festival Song</t>
  </si>
  <si>
    <t>Polar Bear or Africa</t>
  </si>
  <si>
    <t>USA</t>
  </si>
  <si>
    <t>Jenny Hval</t>
  </si>
  <si>
    <t>Conceptual Romance</t>
  </si>
  <si>
    <t>Blood Bitch</t>
  </si>
  <si>
    <t>That Battle is Over</t>
  </si>
  <si>
    <t>Apocalypse, Girl</t>
  </si>
  <si>
    <t>The Practice of Love</t>
  </si>
  <si>
    <t>Spells</t>
  </si>
  <si>
    <t>The Long Sleep EP</t>
  </si>
  <si>
    <t>Female Vampire</t>
  </si>
  <si>
    <t>Sabbath</t>
  </si>
  <si>
    <t>Accident</t>
  </si>
  <si>
    <t>Heaven</t>
  </si>
  <si>
    <t>High Alice</t>
  </si>
  <si>
    <t>Secret Touch</t>
  </si>
  <si>
    <t>A Postcard to Nina</t>
  </si>
  <si>
    <t>Maple Leaves</t>
  </si>
  <si>
    <t>Your Arms Around Me</t>
  </si>
  <si>
    <t>Sipping on the Sweet Nectar</t>
  </si>
  <si>
    <t>The Opposite of Hallelujah</t>
  </si>
  <si>
    <t>Kanske är jag kär i dig</t>
  </si>
  <si>
    <t>The World Moves On</t>
  </si>
  <si>
    <t>An Argument With Myself</t>
  </si>
  <si>
    <t>To Know Your Mission</t>
  </si>
  <si>
    <t>I Know What Love Isn't</t>
  </si>
  <si>
    <t>Jessie Ware</t>
  </si>
  <si>
    <t>What's Your Pleasure?</t>
  </si>
  <si>
    <t>Spotlight</t>
  </si>
  <si>
    <t>Running</t>
  </si>
  <si>
    <t>Devotion</t>
  </si>
  <si>
    <t>Wildest Moments</t>
  </si>
  <si>
    <t>Soul Control</t>
  </si>
  <si>
    <t>Remember Where You Are</t>
  </si>
  <si>
    <t>Save a Kiss</t>
  </si>
  <si>
    <t>Step Into My Life</t>
  </si>
  <si>
    <t>Imagine It Was Us</t>
  </si>
  <si>
    <t>Free Yourself</t>
  </si>
  <si>
    <t>Just Like Honey</t>
  </si>
  <si>
    <t>Darklands</t>
  </si>
  <si>
    <t>April Skies</t>
  </si>
  <si>
    <t>Head On</t>
  </si>
  <si>
    <t>Happy When It Rains</t>
  </si>
  <si>
    <t>Never Understand</t>
  </si>
  <si>
    <t>Upside Down</t>
  </si>
  <si>
    <t>The Hardest Walk</t>
  </si>
  <si>
    <t>Between Planets</t>
  </si>
  <si>
    <t>Taste of Cindy</t>
  </si>
  <si>
    <t>Jimmy Eat World</t>
  </si>
  <si>
    <t>Futures</t>
  </si>
  <si>
    <t>Sweetness</t>
  </si>
  <si>
    <t>Bleed American</t>
  </si>
  <si>
    <t>Lucky Denver Mint</t>
  </si>
  <si>
    <t>Clarity</t>
  </si>
  <si>
    <t>Just Watch the Fireworks</t>
  </si>
  <si>
    <t>For Me This is Heaven</t>
  </si>
  <si>
    <t>A Praise Chorus</t>
  </si>
  <si>
    <t>Kill</t>
  </si>
  <si>
    <t>Table for Glasses</t>
  </si>
  <si>
    <t>Polaris</t>
  </si>
  <si>
    <t>Emily</t>
  </si>
  <si>
    <t>Only Skin</t>
  </si>
  <si>
    <t>Cosmia</t>
  </si>
  <si>
    <t>Baby Birch</t>
  </si>
  <si>
    <t>Good Intentions Paving Company</t>
  </si>
  <si>
    <t>Sawdust &amp; Diamonds</t>
  </si>
  <si>
    <t>Have One on Me</t>
  </si>
  <si>
    <t>Sapokanikan</t>
  </si>
  <si>
    <t>In California</t>
  </si>
  <si>
    <t>Peach, Plum, Pear</t>
  </si>
  <si>
    <t>Jon Hopkins</t>
  </si>
  <si>
    <t>Open Eye Signal</t>
  </si>
  <si>
    <t>Immunity</t>
  </si>
  <si>
    <t>Emerald Rush</t>
  </si>
  <si>
    <t>Singularity</t>
  </si>
  <si>
    <t>Collider</t>
  </si>
  <si>
    <t>Light Through the Veins</t>
  </si>
  <si>
    <t>Insides</t>
  </si>
  <si>
    <t>Everything Connected</t>
  </si>
  <si>
    <t>Neon Pattern Drum</t>
  </si>
  <si>
    <t>We Disappear</t>
  </si>
  <si>
    <t>Joni Mitchell</t>
  </si>
  <si>
    <t>A Case of You</t>
  </si>
  <si>
    <t>Blue</t>
  </si>
  <si>
    <t>Coyote</t>
  </si>
  <si>
    <t>Hejira</t>
  </si>
  <si>
    <t>All I Want</t>
  </si>
  <si>
    <t>Help Me</t>
  </si>
  <si>
    <t>Court and Spark</t>
  </si>
  <si>
    <t>Both Sides, Now</t>
  </si>
  <si>
    <t>Clouds</t>
  </si>
  <si>
    <t>Amelia</t>
  </si>
  <si>
    <t>River</t>
  </si>
  <si>
    <t>California</t>
  </si>
  <si>
    <t>Carey</t>
  </si>
  <si>
    <t>Joyce Manor</t>
  </si>
  <si>
    <t>Constant Headache</t>
  </si>
  <si>
    <t>Heart Tattoo</t>
  </si>
  <si>
    <t>Never Hungover Again</t>
  </si>
  <si>
    <t>Falling In Love Again</t>
  </si>
  <si>
    <t>Christmas Card</t>
  </si>
  <si>
    <t>Victoria</t>
  </si>
  <si>
    <t>Beach Community</t>
  </si>
  <si>
    <t>The Jerk</t>
  </si>
  <si>
    <t>Orange Julius</t>
  </si>
  <si>
    <t>See How Tame I Can Be</t>
  </si>
  <si>
    <t>Of All Things I Will Soon Grow Tired</t>
  </si>
  <si>
    <t>Stairs</t>
  </si>
  <si>
    <t>Cody</t>
  </si>
  <si>
    <t>JPEGMAFIA</t>
  </si>
  <si>
    <t>Baby I'm Bleeding</t>
  </si>
  <si>
    <t>Veteran</t>
  </si>
  <si>
    <t>Free the Frail</t>
  </si>
  <si>
    <t>All My Heroes are Cornballs</t>
  </si>
  <si>
    <t>Bald!</t>
  </si>
  <si>
    <t>EP!</t>
  </si>
  <si>
    <t>1539 N. Calvert</t>
  </si>
  <si>
    <t>Jesus Forgive Me, I Am a Thot</t>
  </si>
  <si>
    <t>Thug Tears</t>
  </si>
  <si>
    <t>Real Nega</t>
  </si>
  <si>
    <t>Rainbow Six</t>
  </si>
  <si>
    <t>Puff Daddy</t>
  </si>
  <si>
    <t>Covered in Money!</t>
  </si>
  <si>
    <t>Feel You</t>
  </si>
  <si>
    <t>I Shall Love 2</t>
  </si>
  <si>
    <t>Betsy on the Roof</t>
  </si>
  <si>
    <t>Words I Heard</t>
  </si>
  <si>
    <t>Lucette Stranded on the Island</t>
  </si>
  <si>
    <t>Sea Calls Me Home</t>
  </si>
  <si>
    <t>Vasquez</t>
  </si>
  <si>
    <t>Horns Surrounding Me</t>
  </si>
  <si>
    <t>Silhouette</t>
  </si>
  <si>
    <t>Marienbad</t>
  </si>
  <si>
    <t>Julien Baker</t>
  </si>
  <si>
    <t>Go Home</t>
  </si>
  <si>
    <t>Sprained Ankle</t>
  </si>
  <si>
    <t>Sour Breath</t>
  </si>
  <si>
    <t>Turn Out the Lights</t>
  </si>
  <si>
    <t>Appointments</t>
  </si>
  <si>
    <t>Blacktop</t>
  </si>
  <si>
    <t>Hardline</t>
  </si>
  <si>
    <t>Little Oblivions</t>
  </si>
  <si>
    <t>Everybody Does</t>
  </si>
  <si>
    <t>Faith Healer</t>
  </si>
  <si>
    <t>Cloudbusting</t>
  </si>
  <si>
    <t>Running Up That Hill</t>
  </si>
  <si>
    <t>Wuthering Heights</t>
  </si>
  <si>
    <t>Hounds of Love</t>
  </si>
  <si>
    <t>Sat in Your Lap</t>
  </si>
  <si>
    <t>Suspended in Gaffa</t>
  </si>
  <si>
    <t>Jig of Life</t>
  </si>
  <si>
    <t>The Big Sky</t>
  </si>
  <si>
    <t>Babooshka</t>
  </si>
  <si>
    <t>Night of the Swallow</t>
  </si>
  <si>
    <t>Kero Kero Bonito</t>
  </si>
  <si>
    <t>Only Acting</t>
  </si>
  <si>
    <t>Time 'n' Place</t>
  </si>
  <si>
    <t>Well Rested</t>
  </si>
  <si>
    <t>Civilisation II</t>
  </si>
  <si>
    <t>Make Believe</t>
  </si>
  <si>
    <t>Trampoline</t>
  </si>
  <si>
    <t>Bonito Generation</t>
  </si>
  <si>
    <t>Time Today</t>
  </si>
  <si>
    <t>The Princess and the Clock</t>
  </si>
  <si>
    <t>Swimming</t>
  </si>
  <si>
    <t>Break</t>
  </si>
  <si>
    <t>Lipslap</t>
  </si>
  <si>
    <t>Flyway</t>
  </si>
  <si>
    <t>Kevin Morby</t>
  </si>
  <si>
    <t>City Music</t>
  </si>
  <si>
    <t>I Have Been to the Mountain</t>
  </si>
  <si>
    <t>Singing Saw</t>
  </si>
  <si>
    <t>Still Life</t>
  </si>
  <si>
    <t>Harlem River</t>
  </si>
  <si>
    <t>Destroyer</t>
  </si>
  <si>
    <t>Beautiful Strangers</t>
  </si>
  <si>
    <t>Aboard My Train</t>
  </si>
  <si>
    <t>Piss River</t>
  </si>
  <si>
    <t>Oh My God</t>
  </si>
  <si>
    <t>Dorothy</t>
  </si>
  <si>
    <t>Don't Underestimate Midwest American Sun</t>
  </si>
  <si>
    <t>Sundowner</t>
  </si>
  <si>
    <t>Mr. Brightside</t>
  </si>
  <si>
    <t>All These Things That I've Done</t>
  </si>
  <si>
    <t>When You Were Young</t>
  </si>
  <si>
    <t>Smile Like You Mean It</t>
  </si>
  <si>
    <t>Read My Mind</t>
  </si>
  <si>
    <t>Jenny Was a Friend of Mine</t>
  </si>
  <si>
    <t>Somebody Told Me</t>
  </si>
  <si>
    <t>Spaceman</t>
  </si>
  <si>
    <t>Bones</t>
  </si>
  <si>
    <t>King Gizzard &amp; the Lizard Wizard</t>
  </si>
  <si>
    <t>Crumbling Castle</t>
  </si>
  <si>
    <t>Polygondwanaland</t>
  </si>
  <si>
    <t>The Dripping Tap</t>
  </si>
  <si>
    <t>Omnium Gatherum</t>
  </si>
  <si>
    <t>Iron Lung</t>
  </si>
  <si>
    <t>Ice, Death Planets, Lungs, Mushrooms and Lava</t>
  </si>
  <si>
    <t>Gamma Knife</t>
  </si>
  <si>
    <t>Nonagon Infinity</t>
  </si>
  <si>
    <t>Float Along - Fill Your Lungs</t>
  </si>
  <si>
    <t>Quarters!</t>
  </si>
  <si>
    <t>Robot Stop</t>
  </si>
  <si>
    <t>Mars for the Rich</t>
  </si>
  <si>
    <t>Infest the Rats' Nest</t>
  </si>
  <si>
    <t>Am I in Heaven?</t>
  </si>
  <si>
    <t>I'm In Your Mind Fuzz</t>
  </si>
  <si>
    <t>Nuclear Fusion</t>
  </si>
  <si>
    <t>Flying Microtenal Banana</t>
  </si>
  <si>
    <t>King Krule</t>
  </si>
  <si>
    <t>Dum Surfer</t>
  </si>
  <si>
    <t>The Ooz</t>
  </si>
  <si>
    <t>Out Getting Ribs</t>
  </si>
  <si>
    <t>6 Feet Beneath the Moon</t>
  </si>
  <si>
    <t>Czech One</t>
  </si>
  <si>
    <t>Biscuit Town</t>
  </si>
  <si>
    <t>Alone, Omen 3</t>
  </si>
  <si>
    <t>Man Alive!</t>
  </si>
  <si>
    <t>Easy Easy</t>
  </si>
  <si>
    <t>Underclass</t>
  </si>
  <si>
    <t>Stoned Again</t>
  </si>
  <si>
    <t>Waterloo Sunset</t>
  </si>
  <si>
    <t>Shangri-La</t>
  </si>
  <si>
    <t>Strangers</t>
  </si>
  <si>
    <t>Sunny Afternoon</t>
  </si>
  <si>
    <t>The Village Green Preservation Society</t>
  </si>
  <si>
    <t>This Time Tomorrow</t>
  </si>
  <si>
    <t>Do You Remember Walter?</t>
  </si>
  <si>
    <t>All Day and All of the Night</t>
  </si>
  <si>
    <t>Lola</t>
  </si>
  <si>
    <t>Heartbeats</t>
  </si>
  <si>
    <t>We Share Our Mothers' Health</t>
  </si>
  <si>
    <t>Silent Shout</t>
  </si>
  <si>
    <t>Full of Fire</t>
  </si>
  <si>
    <t>A Tooth for an Eye</t>
  </si>
  <si>
    <t>Raging Lung</t>
  </si>
  <si>
    <t>Marble House</t>
  </si>
  <si>
    <t>Pass This On</t>
  </si>
  <si>
    <t>Without You My Life Would Be Boring</t>
  </si>
  <si>
    <t>Like a Pen</t>
  </si>
  <si>
    <t>Trans-Europe Express</t>
  </si>
  <si>
    <t>Autobahn</t>
  </si>
  <si>
    <t>Computer Love</t>
  </si>
  <si>
    <t>The Robots</t>
  </si>
  <si>
    <t>Radioactivity</t>
  </si>
  <si>
    <t>Neon Lights</t>
  </si>
  <si>
    <t>Pocket Calculator</t>
  </si>
  <si>
    <t>The Model</t>
  </si>
  <si>
    <t>Europe Endless</t>
  </si>
  <si>
    <t>Tour de France</t>
  </si>
  <si>
    <t>Wakin on a Pretty Day</t>
  </si>
  <si>
    <t>Pretty Pimpin</t>
  </si>
  <si>
    <t>Baby's Arms</t>
  </si>
  <si>
    <t>Jesus Fever</t>
  </si>
  <si>
    <t>Goldtone</t>
  </si>
  <si>
    <t>Girl Called Alex</t>
  </si>
  <si>
    <t>Freak Train</t>
  </si>
  <si>
    <t>Runner Ups</t>
  </si>
  <si>
    <t>Wheelhouse</t>
  </si>
  <si>
    <t>Was All Talk</t>
  </si>
  <si>
    <t>Lana Del Rey</t>
  </si>
  <si>
    <t>Venice Bitch</t>
  </si>
  <si>
    <t>Norman Fucking Rockwell!</t>
  </si>
  <si>
    <t>The Greatest</t>
  </si>
  <si>
    <t>Ultraviolence</t>
  </si>
  <si>
    <t>Ride</t>
  </si>
  <si>
    <t>Paradise EP</t>
  </si>
  <si>
    <t>Mariners Apartment Complex</t>
  </si>
  <si>
    <t>Video Games</t>
  </si>
  <si>
    <t>Born to Die</t>
  </si>
  <si>
    <t>Brooklyn Baby</t>
  </si>
  <si>
    <t>Happiness Is a Butterfly</t>
  </si>
  <si>
    <t>Shades of Cool</t>
  </si>
  <si>
    <t>Laura Marling</t>
  </si>
  <si>
    <t>Sophia</t>
  </si>
  <si>
    <t>A Creature I Don't Know</t>
  </si>
  <si>
    <t>I Was an Eagle</t>
  </si>
  <si>
    <t>Once I Was an Eagle</t>
  </si>
  <si>
    <t>Master Hunter</t>
  </si>
  <si>
    <t>I Speak Because I Can</t>
  </si>
  <si>
    <t>Goodbye England (Covered in Snow)</t>
  </si>
  <si>
    <t>Nothing, Not Nearly</t>
  </si>
  <si>
    <t>Semper Femina</t>
  </si>
  <si>
    <t>Held Down</t>
  </si>
  <si>
    <t>Song for Our Daughter</t>
  </si>
  <si>
    <t>Short Movie</t>
  </si>
  <si>
    <t>Salinas</t>
  </si>
  <si>
    <t>Soothing</t>
  </si>
  <si>
    <t>All My Friends</t>
  </si>
  <si>
    <t>Dance Yrself Clean</t>
  </si>
  <si>
    <t>Someone Great</t>
  </si>
  <si>
    <t>Home</t>
  </si>
  <si>
    <t>New York, I Love You But You're Bringing Me Down</t>
  </si>
  <si>
    <t>Losing My Edge</t>
  </si>
  <si>
    <t>How Do You Sleep?</t>
  </si>
  <si>
    <t>I Can Change</t>
  </si>
  <si>
    <t>Get Innocuous</t>
  </si>
  <si>
    <t>Famous Blue Raincoat</t>
  </si>
  <si>
    <t>Suzanne</t>
  </si>
  <si>
    <t>Avalanche</t>
  </si>
  <si>
    <t>Chelsea Hotel #2</t>
  </si>
  <si>
    <t>Master Song</t>
  </si>
  <si>
    <t>Bird on the Wire</t>
  </si>
  <si>
    <t>So Long, Marianne</t>
  </si>
  <si>
    <t>I'm Your Man</t>
  </si>
  <si>
    <t>One of Us Cannot Be Wrong</t>
  </si>
  <si>
    <t>Liars</t>
  </si>
  <si>
    <t>The Other Side of Mt. Heart Attack</t>
  </si>
  <si>
    <t>Drum's Not Dead</t>
  </si>
  <si>
    <t>Plaster Casts of Everything</t>
  </si>
  <si>
    <t>Scissor</t>
  </si>
  <si>
    <t>Sisterworld</t>
  </si>
  <si>
    <t>No. 1 Against the Rush</t>
  </si>
  <si>
    <t>WIXIW</t>
  </si>
  <si>
    <t>Mess on a Mission</t>
  </si>
  <si>
    <t>Mess</t>
  </si>
  <si>
    <t>Pro Anti Anti</t>
  </si>
  <si>
    <t>Houseclouds</t>
  </si>
  <si>
    <t>Mr. Your on Fire Mr.</t>
  </si>
  <si>
    <t>They Threw Us All in a Trench and Struck a Monument on Top</t>
  </si>
  <si>
    <t>It Fit When I Was a Kid</t>
  </si>
  <si>
    <t>The Overachievers</t>
  </si>
  <si>
    <t>Time for Heroes</t>
  </si>
  <si>
    <t>Can't Stand Me Now</t>
  </si>
  <si>
    <t>Don't Look Back Into the Sun</t>
  </si>
  <si>
    <t>Death on the Stairs</t>
  </si>
  <si>
    <t>Tell the King</t>
  </si>
  <si>
    <t>What a Waster</t>
  </si>
  <si>
    <t>Up the Bracket</t>
  </si>
  <si>
    <t>Music When the Lights Go Out</t>
  </si>
  <si>
    <t>What Katie Did</t>
  </si>
  <si>
    <t>The Good Old Days</t>
  </si>
  <si>
    <t>Lightning Bolt</t>
  </si>
  <si>
    <t>Dead Cowboy</t>
  </si>
  <si>
    <t>Hypermagic Mountain</t>
  </si>
  <si>
    <t>Dracula Mountain</t>
  </si>
  <si>
    <t>Wonderful Rainbow</t>
  </si>
  <si>
    <t>2 Towers</t>
  </si>
  <si>
    <t>Assassins</t>
  </si>
  <si>
    <t>Earthly Delights</t>
  </si>
  <si>
    <t>2 Morro Morro Land</t>
  </si>
  <si>
    <t>The Metal East</t>
  </si>
  <si>
    <t>Fantasy Empire</t>
  </si>
  <si>
    <t>Ride the Sky</t>
  </si>
  <si>
    <t>Ride the Skies</t>
  </si>
  <si>
    <t>13 Monsters</t>
  </si>
  <si>
    <t>Horsepower</t>
  </si>
  <si>
    <t>Liz Phair</t>
  </si>
  <si>
    <t>Divorce Song</t>
  </si>
  <si>
    <t>Exile in Guyville</t>
  </si>
  <si>
    <t>Fuck and Run</t>
  </si>
  <si>
    <t>Never Said</t>
  </si>
  <si>
    <t>Stratford-on-Guy</t>
  </si>
  <si>
    <t>Polyester Bride</t>
  </si>
  <si>
    <t>Whitechocolatespaceegg</t>
  </si>
  <si>
    <t>Supernova</t>
  </si>
  <si>
    <t>Whip-Smart</t>
  </si>
  <si>
    <t>Ant in Alaska</t>
  </si>
  <si>
    <t>Girls Girls Girls</t>
  </si>
  <si>
    <t>Shatter</t>
  </si>
  <si>
    <t>Strange Loop?</t>
  </si>
  <si>
    <t>Wide Eyes</t>
  </si>
  <si>
    <t>When Am I Gonna Lose You</t>
  </si>
  <si>
    <t>Heavy Feet</t>
  </si>
  <si>
    <t>Sun Hands</t>
  </si>
  <si>
    <t>Dark Days</t>
  </si>
  <si>
    <t>Mt. Washington</t>
  </si>
  <si>
    <t>Airplanes</t>
  </si>
  <si>
    <t>Breakers</t>
  </si>
  <si>
    <t>Who Knows Who Cares</t>
  </si>
  <si>
    <t>Megaton Mile</t>
  </si>
  <si>
    <t>Lorde</t>
  </si>
  <si>
    <t>Song Title</t>
  </si>
  <si>
    <t>Ribs</t>
  </si>
  <si>
    <t>Pure Heroine</t>
  </si>
  <si>
    <t>Supercut</t>
  </si>
  <si>
    <t>Melodrama</t>
  </si>
  <si>
    <t>Perfect Places</t>
  </si>
  <si>
    <t>Green Light</t>
  </si>
  <si>
    <t>The Louvre</t>
  </si>
  <si>
    <t>Hard Feelings/Loveless</t>
  </si>
  <si>
    <t>Buzzcut Season</t>
  </si>
  <si>
    <t>Team</t>
  </si>
  <si>
    <t>Liability</t>
  </si>
  <si>
    <t>400 Lux</t>
  </si>
  <si>
    <t>We are Beautiful, We are Doomed</t>
  </si>
  <si>
    <t>The Sea is a Good Place to Think of the Future</t>
  </si>
  <si>
    <t>You! Me! Dancing!</t>
  </si>
  <si>
    <t>I Just Sighed. I Just Sighed, Just So You Know</t>
  </si>
  <si>
    <t>My Year in Lists</t>
  </si>
  <si>
    <t>Death to Los Campesinos!</t>
  </si>
  <si>
    <t>In Media Res</t>
  </si>
  <si>
    <t>A Heat Rash in the Shape of the Show Me State...</t>
  </si>
  <si>
    <t>Avocado, Baby</t>
  </si>
  <si>
    <t>Miserabilia</t>
  </si>
  <si>
    <t>Lou Reed</t>
  </si>
  <si>
    <t>Street Hassle</t>
  </si>
  <si>
    <t>Satellite of Love</t>
  </si>
  <si>
    <t>Transformer</t>
  </si>
  <si>
    <t>Perfect Day</t>
  </si>
  <si>
    <t>Walk on the Wild Side</t>
  </si>
  <si>
    <t>Vicious</t>
  </si>
  <si>
    <t>Coney Island Baby</t>
  </si>
  <si>
    <t>Dirty Blvd</t>
  </si>
  <si>
    <t>New York</t>
  </si>
  <si>
    <t>Romeo Had Juliette</t>
  </si>
  <si>
    <t>Kill Your Sons</t>
  </si>
  <si>
    <t>Sally Can't Dance</t>
  </si>
  <si>
    <t>Lady Day</t>
  </si>
  <si>
    <t>Berlin</t>
  </si>
  <si>
    <t>What Part of Me</t>
  </si>
  <si>
    <t>No Comprende</t>
  </si>
  <si>
    <t>Words</t>
  </si>
  <si>
    <t>Always Trying to Work It Out</t>
  </si>
  <si>
    <t>Do You Know How to Waltz?</t>
  </si>
  <si>
    <t>Quorum</t>
  </si>
  <si>
    <t>Disarray</t>
  </si>
  <si>
    <t>Nothing But Heart</t>
  </si>
  <si>
    <t>Murderer</t>
  </si>
  <si>
    <t>Lucy Dacus</t>
  </si>
  <si>
    <t>Night Shift</t>
  </si>
  <si>
    <t>Historian</t>
  </si>
  <si>
    <t>Triple Dog Dare</t>
  </si>
  <si>
    <t>Home Video</t>
  </si>
  <si>
    <t>I Don't Wanna Be Funny Anymore</t>
  </si>
  <si>
    <t>No Burden</t>
  </si>
  <si>
    <t>Timefighter</t>
  </si>
  <si>
    <t>Brando</t>
  </si>
  <si>
    <t>Thumbs</t>
  </si>
  <si>
    <t>Hot &amp; Heavy</t>
  </si>
  <si>
    <t>VBS</t>
  </si>
  <si>
    <t>Pillar of Truth</t>
  </si>
  <si>
    <t>100,000 Fireflies</t>
  </si>
  <si>
    <t>The Book of Love</t>
  </si>
  <si>
    <t>All My Little Words</t>
  </si>
  <si>
    <t>The Luckiest Guy on the Lower East Side</t>
  </si>
  <si>
    <t>I Don't Want to Get Over You</t>
  </si>
  <si>
    <t>All the Umbrellas in London</t>
  </si>
  <si>
    <t>Strange Powers</t>
  </si>
  <si>
    <t>I Think I Need a New Heart</t>
  </si>
  <si>
    <t>Take Ecstasy With Me</t>
  </si>
  <si>
    <t>Born on a Train</t>
  </si>
  <si>
    <t>Simple Math</t>
  </si>
  <si>
    <t>Colly Strings</t>
  </si>
  <si>
    <t>I Can Feel a Hot One</t>
  </si>
  <si>
    <t>Pride</t>
  </si>
  <si>
    <t>Where Have You Been?</t>
  </si>
  <si>
    <t>The Silence</t>
  </si>
  <si>
    <t>I've Got Friends</t>
  </si>
  <si>
    <t>I Can Barely Breathe</t>
  </si>
  <si>
    <t>Manic Street Preachers</t>
  </si>
  <si>
    <t>Motorcycle Emptiness</t>
  </si>
  <si>
    <t>Generation Terrorists</t>
  </si>
  <si>
    <t>Faster</t>
  </si>
  <si>
    <t>The Holy Bible</t>
  </si>
  <si>
    <t>Yes</t>
  </si>
  <si>
    <t>A Design for Life</t>
  </si>
  <si>
    <t>Everything Must Go</t>
  </si>
  <si>
    <t>4st 7lb</t>
  </si>
  <si>
    <t>If You Tolerate This Your Children Will Be Next</t>
  </si>
  <si>
    <t>This Is My Truth Tell Me Yours</t>
  </si>
  <si>
    <t>No Surface, All Feeling</t>
  </si>
  <si>
    <t>Archives of Pain</t>
  </si>
  <si>
    <t>Little Baby Nothing</t>
  </si>
  <si>
    <t>Die in the Summertime</t>
  </si>
  <si>
    <t>Cassandra Gemini</t>
  </si>
  <si>
    <t>Cygnus....Vismund Cygnus</t>
  </si>
  <si>
    <t>L'Via L'Viaquez</t>
  </si>
  <si>
    <t>Roulette Dares (The Haunt Of)</t>
  </si>
  <si>
    <t>Cicatriz ESP</t>
  </si>
  <si>
    <t>Take the Veil Cerpin Taxt</t>
  </si>
  <si>
    <t>Day of the Baphomets</t>
  </si>
  <si>
    <t>Inertiatic ESP</t>
  </si>
  <si>
    <t>Goliath</t>
  </si>
  <si>
    <t>Drunkship of Lanterns</t>
  </si>
  <si>
    <t>Angel</t>
  </si>
  <si>
    <t>Risingson</t>
  </si>
  <si>
    <t>Teardrop</t>
  </si>
  <si>
    <t>Inertia Creeps</t>
  </si>
  <si>
    <t>Unfinished Sympathy</t>
  </si>
  <si>
    <t>Protection</t>
  </si>
  <si>
    <t>Safe from Harm</t>
  </si>
  <si>
    <t>Dissolved Girl</t>
  </si>
  <si>
    <t>Karmacoma</t>
  </si>
  <si>
    <t>Black Milk</t>
  </si>
  <si>
    <t>Fade into You</t>
  </si>
  <si>
    <t>Look On Down from the Bridge</t>
  </si>
  <si>
    <t>Flowers in December</t>
  </si>
  <si>
    <t>Into Dust</t>
  </si>
  <si>
    <t>Blue Flower</t>
  </si>
  <si>
    <t>Halah</t>
  </si>
  <si>
    <t>Blue Light</t>
  </si>
  <si>
    <t>Take Everything</t>
  </si>
  <si>
    <t>Disappear</t>
  </si>
  <si>
    <t>I've Been Let Down</t>
  </si>
  <si>
    <t>Men I Trust</t>
  </si>
  <si>
    <t>Tailwhip</t>
  </si>
  <si>
    <t>Oncle Jazz</t>
  </si>
  <si>
    <t>Sugar</t>
  </si>
  <si>
    <t>Untourable Album</t>
  </si>
  <si>
    <t>I Hope To Be Around</t>
  </si>
  <si>
    <t>Billie Toppy</t>
  </si>
  <si>
    <t>Say Can You Hear Me</t>
  </si>
  <si>
    <t>Seven</t>
  </si>
  <si>
    <t>Show Me How</t>
  </si>
  <si>
    <t>Tree Among Shrubs</t>
  </si>
  <si>
    <t>Serenade of Water</t>
  </si>
  <si>
    <t>All Night</t>
  </si>
  <si>
    <t>Mercury Rev</t>
  </si>
  <si>
    <t>Holes</t>
  </si>
  <si>
    <t>Deserter's Songs</t>
  </si>
  <si>
    <t>Goddess on a Hiway</t>
  </si>
  <si>
    <t>Car Wash Hair</t>
  </si>
  <si>
    <t>Yerself Is Steam</t>
  </si>
  <si>
    <t>Meth of a Rockette's Kick</t>
  </si>
  <si>
    <t>Boces</t>
  </si>
  <si>
    <t>Frittering</t>
  </si>
  <si>
    <t>Chasing a Bee</t>
  </si>
  <si>
    <t>Opus 40</t>
  </si>
  <si>
    <t>Tonite It Shows</t>
  </si>
  <si>
    <t>Something for Joey</t>
  </si>
  <si>
    <t>Delta Sun Bottleneck Stomp</t>
  </si>
  <si>
    <t>The Look</t>
  </si>
  <si>
    <t>The Bay</t>
  </si>
  <si>
    <t>Night Owl</t>
  </si>
  <si>
    <t>Everything Goes My Way</t>
  </si>
  <si>
    <t>Corinne</t>
  </si>
  <si>
    <t>Reservoir</t>
  </si>
  <si>
    <t>Radio Ladio</t>
  </si>
  <si>
    <t>A Thing For Me</t>
  </si>
  <si>
    <t>I'm Aquarius</t>
  </si>
  <si>
    <t>MF DOOM</t>
  </si>
  <si>
    <t>Doomsday</t>
  </si>
  <si>
    <t>Operation: Doomsday</t>
  </si>
  <si>
    <t>All Caps</t>
  </si>
  <si>
    <t>Madvillainy</t>
  </si>
  <si>
    <t>Accordian</t>
  </si>
  <si>
    <t>Rapp Snitch Knishes</t>
  </si>
  <si>
    <t>Mm..Food</t>
  </si>
  <si>
    <t>Figaro</t>
  </si>
  <si>
    <t>One Beer</t>
  </si>
  <si>
    <t>That's That</t>
  </si>
  <si>
    <t>Born Like This</t>
  </si>
  <si>
    <t>Rhinestone Cowboy</t>
  </si>
  <si>
    <t>Fancy Clown</t>
  </si>
  <si>
    <t>Meat Grinder</t>
  </si>
  <si>
    <t>MGMT</t>
  </si>
  <si>
    <t>Little Dark Age</t>
  </si>
  <si>
    <t>Time to Pretend</t>
  </si>
  <si>
    <t>Oracular Spectacular</t>
  </si>
  <si>
    <t>When You Die</t>
  </si>
  <si>
    <t>Flash Delirium</t>
  </si>
  <si>
    <t>Congratulations</t>
  </si>
  <si>
    <t>Siberian Breaks</t>
  </si>
  <si>
    <t>Kids</t>
  </si>
  <si>
    <t>Electric Feel</t>
  </si>
  <si>
    <t>Of Moons, Birds and Monsters</t>
  </si>
  <si>
    <t>Me and Michael</t>
  </si>
  <si>
    <t>M.I.A.</t>
  </si>
  <si>
    <t>Paper Planes</t>
  </si>
  <si>
    <t>Kala</t>
  </si>
  <si>
    <t>Bad Girls</t>
  </si>
  <si>
    <t>Matangi</t>
  </si>
  <si>
    <t>Boyz</t>
  </si>
  <si>
    <t>Galang</t>
  </si>
  <si>
    <t>Arular</t>
  </si>
  <si>
    <t>10 Dollar</t>
  </si>
  <si>
    <t>Bucky Done Gun</t>
  </si>
  <si>
    <t>XXXO</t>
  </si>
  <si>
    <t>Maya</t>
  </si>
  <si>
    <t>Jimmy</t>
  </si>
  <si>
    <t>Bamboo Banga</t>
  </si>
  <si>
    <t>Come Around</t>
  </si>
  <si>
    <t>I Want Wind to Blow</t>
  </si>
  <si>
    <t>The Moon</t>
  </si>
  <si>
    <t>The Glow Pt. 2</t>
  </si>
  <si>
    <t>II. Solar System</t>
  </si>
  <si>
    <t>The Pull</t>
  </si>
  <si>
    <t>The Glow</t>
  </si>
  <si>
    <t>I Felt Your Shape</t>
  </si>
  <si>
    <t>You'll Be in the Air</t>
  </si>
  <si>
    <t>I Can't Believe You Actually Died</t>
  </si>
  <si>
    <t>Minus the Bear</t>
  </si>
  <si>
    <t>Absinthe Party at the Fly Honey Warehouse</t>
  </si>
  <si>
    <t>Highly Refined Pirates</t>
  </si>
  <si>
    <t>Pachuca Sunrise</t>
  </si>
  <si>
    <t>Menos el Oso</t>
  </si>
  <si>
    <t>Knights</t>
  </si>
  <si>
    <t>Planet of Ice</t>
  </si>
  <si>
    <t>We are Not a Football Team</t>
  </si>
  <si>
    <t>I'm Totally Not Down With Rob's Alien</t>
  </si>
  <si>
    <t>They Make Beer Commercials Like This EP</t>
  </si>
  <si>
    <t>Memphis &amp; 53rd</t>
  </si>
  <si>
    <t>Double Vision Quest</t>
  </si>
  <si>
    <t>Monkey!!!Knife!!!Fight!!!</t>
  </si>
  <si>
    <t>Throwin' Shapes</t>
  </si>
  <si>
    <t>Drilling</t>
  </si>
  <si>
    <t>Your Best American Girl</t>
  </si>
  <si>
    <t>Nobody</t>
  </si>
  <si>
    <t>Geyser</t>
  </si>
  <si>
    <t>Townie</t>
  </si>
  <si>
    <t>I Bet on Losing Dogs</t>
  </si>
  <si>
    <t>Francis Forever</t>
  </si>
  <si>
    <t>A Pearl</t>
  </si>
  <si>
    <t>Two Slow Dancers</t>
  </si>
  <si>
    <t>Happy</t>
  </si>
  <si>
    <t>Modest Mouse</t>
  </si>
  <si>
    <t>3rd Planet</t>
  </si>
  <si>
    <t>The Moon &amp; Antarctica</t>
  </si>
  <si>
    <t>Dramamine</t>
  </si>
  <si>
    <t>This Is a Long Drive for Someone with Nothing to Think About</t>
  </si>
  <si>
    <t>Trailer Trash</t>
  </si>
  <si>
    <t>The Lonesome Crowded West</t>
  </si>
  <si>
    <t>Teeth Like God's Shoeshine</t>
  </si>
  <si>
    <t>Cowboy Dan</t>
  </si>
  <si>
    <t>Night on the Sun</t>
  </si>
  <si>
    <t>Night on the Sun EP</t>
  </si>
  <si>
    <t>Edit the Sad Parts</t>
  </si>
  <si>
    <t>Interstate 8 EP</t>
  </si>
  <si>
    <t>Broke</t>
  </si>
  <si>
    <t>Building Nothing Out of Something</t>
  </si>
  <si>
    <t>Gravity Rides Everything</t>
  </si>
  <si>
    <t>Talking Shit About a Pretty Sunset</t>
  </si>
  <si>
    <t>Mogwai Fear Satan</t>
  </si>
  <si>
    <t>Like Herod</t>
  </si>
  <si>
    <t>Christmas Steps</t>
  </si>
  <si>
    <t>Yes! I Am a Long Way from Home</t>
  </si>
  <si>
    <t>Helicon 1</t>
  </si>
  <si>
    <t>2 Rights Make 1 Wrong</t>
  </si>
  <si>
    <t>My Father My King</t>
  </si>
  <si>
    <t>Take Me Somewhere Nice</t>
  </si>
  <si>
    <t>CODY</t>
  </si>
  <si>
    <t>Hunted by a Freak</t>
  </si>
  <si>
    <t>Citizen Erased</t>
  </si>
  <si>
    <t>Knights of Cydonia</t>
  </si>
  <si>
    <t>Map of the Problematique</t>
  </si>
  <si>
    <t>New Born</t>
  </si>
  <si>
    <t>Stockholm Syndrome</t>
  </si>
  <si>
    <t>Hysteria</t>
  </si>
  <si>
    <t>Plug In Baby</t>
  </si>
  <si>
    <t>Showbiz</t>
  </si>
  <si>
    <t>Bliss</t>
  </si>
  <si>
    <t>Space Dementia</t>
  </si>
  <si>
    <t>Steam Engine</t>
  </si>
  <si>
    <t>Wordless Chorus</t>
  </si>
  <si>
    <t>One Big Holiday</t>
  </si>
  <si>
    <t>Mahgeetah</t>
  </si>
  <si>
    <t>Lay Low</t>
  </si>
  <si>
    <t>Touch Me I'm Going to Scream Pt. 2</t>
  </si>
  <si>
    <t>Golden</t>
  </si>
  <si>
    <t>Circuital</t>
  </si>
  <si>
    <t>Run Thru</t>
  </si>
  <si>
    <t>Fake Empire</t>
  </si>
  <si>
    <t>Bloodbuzz Ohio</t>
  </si>
  <si>
    <t>Apartment Story</t>
  </si>
  <si>
    <t>Slow Show</t>
  </si>
  <si>
    <t>Mr. November</t>
  </si>
  <si>
    <t>Mistaken for Strangers</t>
  </si>
  <si>
    <t>Pink Rabbits</t>
  </si>
  <si>
    <t>Terrible Love</t>
  </si>
  <si>
    <t>The Geese of Beverly Road</t>
  </si>
  <si>
    <t>About Today</t>
  </si>
  <si>
    <t>Cortez the Killer</t>
  </si>
  <si>
    <t>Ambulance Blues</t>
  </si>
  <si>
    <t>On the Beach</t>
  </si>
  <si>
    <t>After the Gold Rush</t>
  </si>
  <si>
    <t>Down by the River</t>
  </si>
  <si>
    <t>Old Man</t>
  </si>
  <si>
    <t>Powderfinger</t>
  </si>
  <si>
    <t>Heart of Gold</t>
  </si>
  <si>
    <t>Cowgirl in the Sand</t>
  </si>
  <si>
    <t>Harvest Moon</t>
  </si>
  <si>
    <t>Neko Case</t>
  </si>
  <si>
    <t>Star Witness</t>
  </si>
  <si>
    <t>Fox Confessor Brings the Flood</t>
  </si>
  <si>
    <t>Hold On, Hold On</t>
  </si>
  <si>
    <t>This Tornado Loves You</t>
  </si>
  <si>
    <t>Middle Cyclone</t>
  </si>
  <si>
    <t>Deep Red Bells</t>
  </si>
  <si>
    <t>Blacklisted</t>
  </si>
  <si>
    <t>I Wish I Was the Moon</t>
  </si>
  <si>
    <t>People Got a Lotta Nerve</t>
  </si>
  <si>
    <t>Calling Cards</t>
  </si>
  <si>
    <t>The Worse Things Get, the Harder I Fight, the Harder I Fight, the More I Love You</t>
  </si>
  <si>
    <t>Margaret vs. Pauline</t>
  </si>
  <si>
    <t>John Saw That Number</t>
  </si>
  <si>
    <t>Man</t>
  </si>
  <si>
    <t>Polish Girl</t>
  </si>
  <si>
    <t>Annie</t>
  </si>
  <si>
    <t>Slumlord</t>
  </si>
  <si>
    <t>Deadbeat Summer</t>
  </si>
  <si>
    <t>Hex Girlfriend</t>
  </si>
  <si>
    <t>The Glitzy Hive</t>
  </si>
  <si>
    <t>Dear Skorpio Magazine</t>
  </si>
  <si>
    <t>Terminally Chill</t>
  </si>
  <si>
    <t>Arcade Blues</t>
  </si>
  <si>
    <t>Should Have Taken Acid with You</t>
  </si>
  <si>
    <t>NEU!</t>
  </si>
  <si>
    <t>Hallogallo</t>
  </si>
  <si>
    <t>Isi</t>
  </si>
  <si>
    <t>NEU! '75</t>
  </si>
  <si>
    <t>Für immer</t>
  </si>
  <si>
    <t>NEU! 2</t>
  </si>
  <si>
    <t>Negativland</t>
  </si>
  <si>
    <t>Seeland</t>
  </si>
  <si>
    <t>Leb' wohl</t>
  </si>
  <si>
    <t>Hero</t>
  </si>
  <si>
    <t>Weissensee</t>
  </si>
  <si>
    <t>Neuschnee</t>
  </si>
  <si>
    <t>Super</t>
  </si>
  <si>
    <t>New Order</t>
  </si>
  <si>
    <t>Age of Consent</t>
  </si>
  <si>
    <t>Power, Corruption &amp; Lies</t>
  </si>
  <si>
    <t>Bizarre Love Triangle</t>
  </si>
  <si>
    <t>Brotherhood</t>
  </si>
  <si>
    <t>Ceremony - Single</t>
  </si>
  <si>
    <t>Temptation</t>
  </si>
  <si>
    <t>Temptation - Single</t>
  </si>
  <si>
    <t>Blue Monday</t>
  </si>
  <si>
    <t>Blue Monday - Single</t>
  </si>
  <si>
    <t>Leave Me Alone</t>
  </si>
  <si>
    <t>The Perfect Kiss</t>
  </si>
  <si>
    <t>Low-Life</t>
  </si>
  <si>
    <t>Republic</t>
  </si>
  <si>
    <t>True Faith</t>
  </si>
  <si>
    <t>True Faith - Single</t>
  </si>
  <si>
    <t>Your Silent Face</t>
  </si>
  <si>
    <t>Letter from an Occupant</t>
  </si>
  <si>
    <t>The Bleeding Heart Show</t>
  </si>
  <si>
    <t>Sing Me Spanish Techno</t>
  </si>
  <si>
    <t>The Laws Have Changed</t>
  </si>
  <si>
    <t>Mass Romantic</t>
  </si>
  <si>
    <t>Myriad Harbour</t>
  </si>
  <si>
    <t>The Slow Descent into Alcoholism</t>
  </si>
  <si>
    <t>Use It</t>
  </si>
  <si>
    <t>Ballad of a Comeback Kid</t>
  </si>
  <si>
    <t>Jackie, Dressed in Cobras</t>
  </si>
  <si>
    <t>Nick Cave and the Bad Seeds</t>
  </si>
  <si>
    <t>The Mercy Seat</t>
  </si>
  <si>
    <t>Tender Prey</t>
  </si>
  <si>
    <t>Jubilee Street</t>
  </si>
  <si>
    <t>Push the Sky Away</t>
  </si>
  <si>
    <t>The Ship Song</t>
  </si>
  <si>
    <t>The Good Son</t>
  </si>
  <si>
    <t>Into My Arms</t>
  </si>
  <si>
    <t>The Boatman's Call</t>
  </si>
  <si>
    <t>O Children</t>
  </si>
  <si>
    <t>Abattoir Blues / The Lyre of Orpheus</t>
  </si>
  <si>
    <t>Higgs Boson Blues</t>
  </si>
  <si>
    <t>Stagger Lee</t>
  </si>
  <si>
    <t>Murder Ballads</t>
  </si>
  <si>
    <t>Straight to You</t>
  </si>
  <si>
    <t>Henry's Dream</t>
  </si>
  <si>
    <t>There She Goes, My Beautiful World</t>
  </si>
  <si>
    <t>I Need You</t>
  </si>
  <si>
    <t>Skeleton Tree</t>
  </si>
  <si>
    <t>Pink Moon</t>
  </si>
  <si>
    <t>Place to Be</t>
  </si>
  <si>
    <t>Time Has Told Me</t>
  </si>
  <si>
    <t>From the Morning</t>
  </si>
  <si>
    <t>Which Will</t>
  </si>
  <si>
    <t>Northern Sky</t>
  </si>
  <si>
    <t>Things Behind the Sun</t>
  </si>
  <si>
    <t>River Man</t>
  </si>
  <si>
    <t>Parasite</t>
  </si>
  <si>
    <t>Road</t>
  </si>
  <si>
    <t>I Never Dream</t>
  </si>
  <si>
    <t>2012-2017</t>
  </si>
  <si>
    <t>Cityfade</t>
  </si>
  <si>
    <t>Rave on U</t>
  </si>
  <si>
    <t>Space is Only Noise if You Can See</t>
  </si>
  <si>
    <t>Space Is Only Noise</t>
  </si>
  <si>
    <t>Fight</t>
  </si>
  <si>
    <t>Some Kind of Game</t>
  </si>
  <si>
    <t>No</t>
  </si>
  <si>
    <t>Sirens</t>
  </si>
  <si>
    <t>The Governor</t>
  </si>
  <si>
    <t>Nymphs III</t>
  </si>
  <si>
    <t>Keep Me There</t>
  </si>
  <si>
    <t>Head Like a Hole</t>
  </si>
  <si>
    <t>Somewhat Damaged</t>
  </si>
  <si>
    <t>We're in This Together</t>
  </si>
  <si>
    <t>Closer</t>
  </si>
  <si>
    <t>Hurt</t>
  </si>
  <si>
    <t>Wish</t>
  </si>
  <si>
    <t>March of the Pigs</t>
  </si>
  <si>
    <t>Terrible Lie</t>
  </si>
  <si>
    <t>Reptile</t>
  </si>
  <si>
    <t>The Wretched</t>
  </si>
  <si>
    <t>All Apologies</t>
  </si>
  <si>
    <t>Heart-Shaped Box</t>
  </si>
  <si>
    <t>Lithium</t>
  </si>
  <si>
    <t>About a Girl</t>
  </si>
  <si>
    <t>Smells Like Teen Spirit</t>
  </si>
  <si>
    <t>Drain You</t>
  </si>
  <si>
    <t>In Bloom</t>
  </si>
  <si>
    <t>Come as You Are</t>
  </si>
  <si>
    <t>Aneurysm</t>
  </si>
  <si>
    <t>Incesticide</t>
  </si>
  <si>
    <t>Something in the Way</t>
  </si>
  <si>
    <t>Don't Look Back in Anger</t>
  </si>
  <si>
    <t>Live Forever</t>
  </si>
  <si>
    <t>Slide Away</t>
  </si>
  <si>
    <t>Champagne Supernova</t>
  </si>
  <si>
    <t>Some Might Say</t>
  </si>
  <si>
    <t>The Masterplan</t>
  </si>
  <si>
    <t>Supersonic</t>
  </si>
  <si>
    <t>Acquiesce</t>
  </si>
  <si>
    <t>Morning Glory</t>
  </si>
  <si>
    <t>Wonderwall</t>
  </si>
  <si>
    <t>The Past Is a Grotesque Animal</t>
  </si>
  <si>
    <t>A Sentence of Sorts in Kongsvinger</t>
  </si>
  <si>
    <t>Gronlandic Edit</t>
  </si>
  <si>
    <t>We Were Born the Mutants Again with Leafling</t>
  </si>
  <si>
    <t>The Party's Crashing Us</t>
  </si>
  <si>
    <t>An Eluardian Instance</t>
  </si>
  <si>
    <t>Bunny Ain't No Kind of Rider</t>
  </si>
  <si>
    <t>No Conclusion</t>
  </si>
  <si>
    <t>Wraith Pinned to the Mist and Other Games</t>
  </si>
  <si>
    <t>Lysergic Bliss</t>
  </si>
  <si>
    <t>The Dream</t>
  </si>
  <si>
    <t>I Come From the Mountain</t>
  </si>
  <si>
    <t>Sticky Hulks</t>
  </si>
  <si>
    <t>Gelatinous Cube</t>
  </si>
  <si>
    <t>Contraption / Soul Desert</t>
  </si>
  <si>
    <t>The Static God</t>
  </si>
  <si>
    <t>Animated Violence</t>
  </si>
  <si>
    <t>Web</t>
  </si>
  <si>
    <t>C</t>
  </si>
  <si>
    <t>Okkervil River</t>
  </si>
  <si>
    <t>For Real</t>
  </si>
  <si>
    <t>Black Sheep Boy</t>
  </si>
  <si>
    <t>Lost Coastlines</t>
  </si>
  <si>
    <t>The Stand Ins</t>
  </si>
  <si>
    <t>So Come Back, I Am Waiting</t>
  </si>
  <si>
    <t>Black</t>
  </si>
  <si>
    <t>A Stone</t>
  </si>
  <si>
    <t>Our Life is Not a Movie or Maybe</t>
  </si>
  <si>
    <t>The Stage Names</t>
  </si>
  <si>
    <t>Westfall</t>
  </si>
  <si>
    <t>Don't Fall in Love with Everyone You See</t>
  </si>
  <si>
    <t>Another Radio Song</t>
  </si>
  <si>
    <t>Black Sheep Boy Appendix</t>
  </si>
  <si>
    <t>A Girl in Port</t>
  </si>
  <si>
    <t>No Key, No Plan</t>
  </si>
  <si>
    <t>Jumping Fences</t>
  </si>
  <si>
    <t>Hideaway</t>
  </si>
  <si>
    <t>I Have Been Floated</t>
  </si>
  <si>
    <t>NYC-25</t>
  </si>
  <si>
    <t>Define a Transparent Dream</t>
  </si>
  <si>
    <t>Holiday Surprise 1, 2, 3</t>
  </si>
  <si>
    <t>No Growing (Exegesis)</t>
  </si>
  <si>
    <t>Hilltop Procession (Momentum Gaining)</t>
  </si>
  <si>
    <t>Green Typewriters</t>
  </si>
  <si>
    <t>Oneohtrix Point Never</t>
  </si>
  <si>
    <t>Chrome Country</t>
  </si>
  <si>
    <t>R Plus Seven</t>
  </si>
  <si>
    <t>Sleep Dealer</t>
  </si>
  <si>
    <t>Replica</t>
  </si>
  <si>
    <t>Zebra</t>
  </si>
  <si>
    <t>Andro</t>
  </si>
  <si>
    <t>Mutant Standard</t>
  </si>
  <si>
    <t>Garden of Delete</t>
  </si>
  <si>
    <t>Americans</t>
  </si>
  <si>
    <t>Long Road Home</t>
  </si>
  <si>
    <t>Magic Oneohtrix Point Never</t>
  </si>
  <si>
    <t>Love in the Time of Lexapro</t>
  </si>
  <si>
    <t>Love in the Time of Lexapro EP</t>
  </si>
  <si>
    <t>Lost But Never Alone</t>
  </si>
  <si>
    <t>Beautiful Blue Sky</t>
  </si>
  <si>
    <t>Today, More Than Any Other Day</t>
  </si>
  <si>
    <t>Habit</t>
  </si>
  <si>
    <t>Desire</t>
  </si>
  <si>
    <t>Men for Miles</t>
  </si>
  <si>
    <t>The Weather Song</t>
  </si>
  <si>
    <t>Disgraced in America</t>
  </si>
  <si>
    <t>Passionate Turn</t>
  </si>
  <si>
    <t>Gemini</t>
  </si>
  <si>
    <t>Pleasant Heart</t>
  </si>
  <si>
    <t>Total Football</t>
  </si>
  <si>
    <t>Master of My Craft</t>
  </si>
  <si>
    <t>Borrowed Time</t>
  </si>
  <si>
    <t>Stoned and Starving</t>
  </si>
  <si>
    <t>Berlin Got Blurry</t>
  </si>
  <si>
    <t>Uncast Shadow of a Southern Myth</t>
  </si>
  <si>
    <t>Instant Disassembly</t>
  </si>
  <si>
    <t>Freebird II</t>
  </si>
  <si>
    <t>Paul McCartney</t>
  </si>
  <si>
    <t>Band on the Run</t>
  </si>
  <si>
    <t>Maybe I'm Amazed</t>
  </si>
  <si>
    <t>McCartney</t>
  </si>
  <si>
    <t>Ram</t>
  </si>
  <si>
    <t>Let Me Roll It</t>
  </si>
  <si>
    <t>Arrow Through Me</t>
  </si>
  <si>
    <t>Back to the Egg</t>
  </si>
  <si>
    <t>Live and Let Die</t>
  </si>
  <si>
    <t>Wonderful Christmastime</t>
  </si>
  <si>
    <t>Coming Up</t>
  </si>
  <si>
    <t>McCartney II</t>
  </si>
  <si>
    <t>Jet</t>
  </si>
  <si>
    <t>Constant Conversations</t>
  </si>
  <si>
    <t>Sleepyhead</t>
  </si>
  <si>
    <t>Little Secrets</t>
  </si>
  <si>
    <t>Moth's Wings</t>
  </si>
  <si>
    <t>The Reeling</t>
  </si>
  <si>
    <t>It's Not My Fault, I'm Happy</t>
  </si>
  <si>
    <t>Carried Away</t>
  </si>
  <si>
    <t>I'll Be Alright</t>
  </si>
  <si>
    <t>To Kingdom Come</t>
  </si>
  <si>
    <t>Swimming in the Flood</t>
  </si>
  <si>
    <t>Pavement</t>
  </si>
  <si>
    <t>Gold Soundz</t>
  </si>
  <si>
    <t>Grounded</t>
  </si>
  <si>
    <t>Range Life</t>
  </si>
  <si>
    <t>Summer Babe</t>
  </si>
  <si>
    <t>Frontwards</t>
  </si>
  <si>
    <t>Here</t>
  </si>
  <si>
    <t>In the Mouth a Desert</t>
  </si>
  <si>
    <t>Silence Kid</t>
  </si>
  <si>
    <t>Shady Lane</t>
  </si>
  <si>
    <t>Brighten the Corners</t>
  </si>
  <si>
    <t>Cut Your Hair</t>
  </si>
  <si>
    <t>Perfume Genius</t>
  </si>
  <si>
    <t>Slip Away</t>
  </si>
  <si>
    <t>On the Floor</t>
  </si>
  <si>
    <t>Set My Heart on Fire Immediately</t>
  </si>
  <si>
    <t>Queen</t>
  </si>
  <si>
    <t>Otherside</t>
  </si>
  <si>
    <t>Describe</t>
  </si>
  <si>
    <t>Hood</t>
  </si>
  <si>
    <t>Wreath</t>
  </si>
  <si>
    <t>Jason</t>
  </si>
  <si>
    <t>Fool</t>
  </si>
  <si>
    <t>Grid</t>
  </si>
  <si>
    <t>Phish</t>
  </si>
  <si>
    <t>You Enjoy Myself</t>
  </si>
  <si>
    <t>Junta</t>
  </si>
  <si>
    <t>Harry Hood</t>
  </si>
  <si>
    <t>The Divided Sky</t>
  </si>
  <si>
    <t>Reba</t>
  </si>
  <si>
    <t>Lawn Boy</t>
  </si>
  <si>
    <t>Tweezer</t>
  </si>
  <si>
    <t>A Picture of Nectar</t>
  </si>
  <si>
    <t>Bathtub Gin</t>
  </si>
  <si>
    <t>Slave to the Traffic Light</t>
  </si>
  <si>
    <t>Fluffhead</t>
  </si>
  <si>
    <t>Stash</t>
  </si>
  <si>
    <t>The Squirming Coil</t>
  </si>
  <si>
    <t>Phoebe Bridgers</t>
  </si>
  <si>
    <t>I Know The End</t>
  </si>
  <si>
    <t>Punisher</t>
  </si>
  <si>
    <t>Motion Sickness</t>
  </si>
  <si>
    <t>Stranger in the Alps</t>
  </si>
  <si>
    <t>Kyoto</t>
  </si>
  <si>
    <t>Scott Street</t>
  </si>
  <si>
    <t>Chinese Satellite</t>
  </si>
  <si>
    <t>Garden Song</t>
  </si>
  <si>
    <t>Smoke Signals</t>
  </si>
  <si>
    <t>Funeral</t>
  </si>
  <si>
    <t>Moon Song</t>
  </si>
  <si>
    <t>Graceland Too</t>
  </si>
  <si>
    <t>Pile</t>
  </si>
  <si>
    <t>Prom Song</t>
  </si>
  <si>
    <t>Dripping</t>
  </si>
  <si>
    <t>Baby Boy</t>
  </si>
  <si>
    <t>The Jones</t>
  </si>
  <si>
    <t>Leaning on a Wheel</t>
  </si>
  <si>
    <t>A Hairshirt of Purpose</t>
  </si>
  <si>
    <t>Firewood</t>
  </si>
  <si>
    <t>Green and Gray</t>
  </si>
  <si>
    <t>Don't Touch Anything</t>
  </si>
  <si>
    <t>Magic Isn't Real</t>
  </si>
  <si>
    <t>Rope's Length</t>
  </si>
  <si>
    <t>Pets</t>
  </si>
  <si>
    <t>Special Snowflakes</t>
  </si>
  <si>
    <t>Came As a Glow</t>
  </si>
  <si>
    <t>Pinegrove</t>
  </si>
  <si>
    <t>Old Friends</t>
  </si>
  <si>
    <t>Cardinal</t>
  </si>
  <si>
    <t>Aphasia</t>
  </si>
  <si>
    <t>Angelina</t>
  </si>
  <si>
    <t>Skylight</t>
  </si>
  <si>
    <t>Cadmium</t>
  </si>
  <si>
    <t>New Friends</t>
  </si>
  <si>
    <t>Size of the Moon</t>
  </si>
  <si>
    <t>Rings</t>
  </si>
  <si>
    <t>Darkness</t>
  </si>
  <si>
    <t>Dotted Line</t>
  </si>
  <si>
    <t>Marigold</t>
  </si>
  <si>
    <t>The Metronome</t>
  </si>
  <si>
    <t>Meridian</t>
  </si>
  <si>
    <t>Pink Floyd</t>
  </si>
  <si>
    <t>Shine On You Crazy Diamond (Pts. 1-5)</t>
  </si>
  <si>
    <t>Time</t>
  </si>
  <si>
    <t>The Dark Side of the Moon</t>
  </si>
  <si>
    <t>Echoes</t>
  </si>
  <si>
    <t>Meddle</t>
  </si>
  <si>
    <t>Comfortably Numb</t>
  </si>
  <si>
    <t>The Wall</t>
  </si>
  <si>
    <t>Us and Them</t>
  </si>
  <si>
    <t>Shine On You Crazy Diamond (Pts. 6-9)</t>
  </si>
  <si>
    <t>Dogs</t>
  </si>
  <si>
    <t>Animals</t>
  </si>
  <si>
    <t>Brain Damage</t>
  </si>
  <si>
    <t>The Great Gig in the Sky</t>
  </si>
  <si>
    <t>Hey</t>
  </si>
  <si>
    <t>Debaser</t>
  </si>
  <si>
    <t>Where is My Mind?</t>
  </si>
  <si>
    <t>Gouge Away</t>
  </si>
  <si>
    <t>Monkey Gone to Heaven</t>
  </si>
  <si>
    <t>Gigantic</t>
  </si>
  <si>
    <t>Bone Machine</t>
  </si>
  <si>
    <t>Here Comes Your Man</t>
  </si>
  <si>
    <t>Wave of Mutilation</t>
  </si>
  <si>
    <t>Mr. Grieves</t>
  </si>
  <si>
    <t>Rid of Me</t>
  </si>
  <si>
    <t>To Bring You My Love</t>
  </si>
  <si>
    <t>Down By the Water</t>
  </si>
  <si>
    <t>Dress</t>
  </si>
  <si>
    <t>The Glorious Land</t>
  </si>
  <si>
    <t>Long Snake Moan</t>
  </si>
  <si>
    <t>Big Exit</t>
  </si>
  <si>
    <t>On Battleship Hill</t>
  </si>
  <si>
    <t>50ft Queenie</t>
  </si>
  <si>
    <t>Good Fortune</t>
  </si>
  <si>
    <t>Placebo</t>
  </si>
  <si>
    <t>Every You Every Me</t>
  </si>
  <si>
    <t>Without You I'm Nothing</t>
  </si>
  <si>
    <t>Special Needs</t>
  </si>
  <si>
    <t>Sleeping with Ghosts</t>
  </si>
  <si>
    <t>Nancy Boy</t>
  </si>
  <si>
    <t>Song to Say Goodbye</t>
  </si>
  <si>
    <t>Meds</t>
  </si>
  <si>
    <t>The Bitter End</t>
  </si>
  <si>
    <t>Pure Morning</t>
  </si>
  <si>
    <t>Special K</t>
  </si>
  <si>
    <t>Black Market Music</t>
  </si>
  <si>
    <t>Space Monkey</t>
  </si>
  <si>
    <t>Slave To the Wage</t>
  </si>
  <si>
    <t>Pond</t>
  </si>
  <si>
    <t>Man It Feels Like Space Again</t>
  </si>
  <si>
    <t>Paint Me Silver</t>
  </si>
  <si>
    <t>The Weather</t>
  </si>
  <si>
    <t>Daisy</t>
  </si>
  <si>
    <t>Tasmania</t>
  </si>
  <si>
    <t>Waiting Around for Grace</t>
  </si>
  <si>
    <t>Sweep Me Off My Feet</t>
  </si>
  <si>
    <t>Holding Out for You</t>
  </si>
  <si>
    <t>Sitting Up on Our Crane</t>
  </si>
  <si>
    <t>Eye Pattern Blindness</t>
  </si>
  <si>
    <t>Beard, Wives, Denim</t>
  </si>
  <si>
    <t>Giant Tortoise</t>
  </si>
  <si>
    <t>Hobo Rocket</t>
  </si>
  <si>
    <t>Death</t>
  </si>
  <si>
    <t>Continental Shelf</t>
  </si>
  <si>
    <t>Bunker Buster</t>
  </si>
  <si>
    <t>March of Progress</t>
  </si>
  <si>
    <t>Memory</t>
  </si>
  <si>
    <t>Anxiety</t>
  </si>
  <si>
    <t>Stimulation</t>
  </si>
  <si>
    <t>Unconscious Melody</t>
  </si>
  <si>
    <t>Cassette EP</t>
  </si>
  <si>
    <t>Degraded</t>
  </si>
  <si>
    <t>Come Together</t>
  </si>
  <si>
    <t>Higher Than the Sun</t>
  </si>
  <si>
    <t>Movin' On Up</t>
  </si>
  <si>
    <t>Loaded</t>
  </si>
  <si>
    <t>Kowalski</t>
  </si>
  <si>
    <t>Swastika Eyes</t>
  </si>
  <si>
    <t xml:space="preserve">Kill All Hippies </t>
  </si>
  <si>
    <t>Damaged</t>
  </si>
  <si>
    <t>Accelerator</t>
  </si>
  <si>
    <t>Half-Sister</t>
  </si>
  <si>
    <t>A Private Understanding</t>
  </si>
  <si>
    <t>Processed by the Boys</t>
  </si>
  <si>
    <t>Ultimate Success Today</t>
  </si>
  <si>
    <t>Worm in Heaven</t>
  </si>
  <si>
    <t>Maidenhead</t>
  </si>
  <si>
    <t>The Chuckler</t>
  </si>
  <si>
    <t>Pontiac 87</t>
  </si>
  <si>
    <t>Michigan Hammers</t>
  </si>
  <si>
    <t>The Devil in His Youth</t>
  </si>
  <si>
    <t>Come and See</t>
  </si>
  <si>
    <t>Public Image Ltd.</t>
  </si>
  <si>
    <t>Poptones</t>
  </si>
  <si>
    <t>Metal Box</t>
  </si>
  <si>
    <t>Public Image</t>
  </si>
  <si>
    <t>Public Image: First Issue</t>
  </si>
  <si>
    <t>Theme</t>
  </si>
  <si>
    <t>Rise</t>
  </si>
  <si>
    <t>Albatross</t>
  </si>
  <si>
    <t>Flowers of Romance</t>
  </si>
  <si>
    <t>The Flowers of Romance</t>
  </si>
  <si>
    <t>Memories</t>
  </si>
  <si>
    <t>Annalisa</t>
  </si>
  <si>
    <t>The Order of Death</t>
  </si>
  <si>
    <t>This Is What You Want... This Is What You Get</t>
  </si>
  <si>
    <t>Common People</t>
  </si>
  <si>
    <t>This Is Hardcore</t>
  </si>
  <si>
    <t>Disco 2000</t>
  </si>
  <si>
    <t>Babies</t>
  </si>
  <si>
    <t>Do You Remember the First Time?</t>
  </si>
  <si>
    <t>Mis-Shapes</t>
  </si>
  <si>
    <t>Underwear</t>
  </si>
  <si>
    <t>Like a Friend</t>
  </si>
  <si>
    <t>Sorted for E's &amp; Wizz</t>
  </si>
  <si>
    <t>The Fear</t>
  </si>
  <si>
    <t>DVP</t>
  </si>
  <si>
    <t>See You at Your Funeral</t>
  </si>
  <si>
    <t>If This Tour Doesn't Kill You, I Will</t>
  </si>
  <si>
    <t>Scorpion Hill</t>
  </si>
  <si>
    <t>Sleep in the Heat</t>
  </si>
  <si>
    <t>Free at Last</t>
  </si>
  <si>
    <t>Sibling Rivalry</t>
  </si>
  <si>
    <t>No One Knows</t>
  </si>
  <si>
    <t>A Song for the Dead</t>
  </si>
  <si>
    <t>I Appear Missing</t>
  </si>
  <si>
    <t>Feel Good Hit of the Summer</t>
  </si>
  <si>
    <t>You Think I Ain't Worth a Dollar, But I Feel Like a Millionaire</t>
  </si>
  <si>
    <t>Better Living Through Chemistry</t>
  </si>
  <si>
    <t>Smooth Sailing</t>
  </si>
  <si>
    <t>In the Fade</t>
  </si>
  <si>
    <t>Go with the Flow</t>
  </si>
  <si>
    <t>The Lost Art of Keeping a Secret</t>
  </si>
  <si>
    <t>R.E.M.</t>
  </si>
  <si>
    <t>Nightswimming</t>
  </si>
  <si>
    <t>Automatic for the People</t>
  </si>
  <si>
    <t>Harborcoat</t>
  </si>
  <si>
    <t>Reckoning</t>
  </si>
  <si>
    <t>Fall on Me</t>
  </si>
  <si>
    <t>Lifes Rich Pageant</t>
  </si>
  <si>
    <t>Country Feedback</t>
  </si>
  <si>
    <t>Out of Time</t>
  </si>
  <si>
    <t>Losing My Religion</t>
  </si>
  <si>
    <t>Man on the Moon</t>
  </si>
  <si>
    <t>Radio Free Europe</t>
  </si>
  <si>
    <t>Murmur</t>
  </si>
  <si>
    <t>What's the Frequency, Kenneth</t>
  </si>
  <si>
    <t>Monster</t>
  </si>
  <si>
    <t>Driver 8</t>
  </si>
  <si>
    <t>Fables of the Reconstruction</t>
  </si>
  <si>
    <t>Find the River</t>
  </si>
  <si>
    <t>Heaven's On Fire</t>
  </si>
  <si>
    <t>Where Damage Isn't Already Done</t>
  </si>
  <si>
    <t>Strange Things Will Happen</t>
  </si>
  <si>
    <t>Never Follow Suit</t>
  </si>
  <si>
    <t>Domestic Scene</t>
  </si>
  <si>
    <t>Always a Relief</t>
  </si>
  <si>
    <t>The Worst Taste in Music</t>
  </si>
  <si>
    <t>The City Limit</t>
  </si>
  <si>
    <t>Pulling Our Weight EP</t>
  </si>
  <si>
    <t>Keen on Boys</t>
  </si>
  <si>
    <t>Radiohead</t>
  </si>
  <si>
    <t>In Rainbows</t>
  </si>
  <si>
    <t>Let Down</t>
  </si>
  <si>
    <t>OK Computer</t>
  </si>
  <si>
    <t>Paranoid Android</t>
  </si>
  <si>
    <t>How to Disappear Completely</t>
  </si>
  <si>
    <t>Kid A</t>
  </si>
  <si>
    <t>Reckoner</t>
  </si>
  <si>
    <t>Idioteque</t>
  </si>
  <si>
    <t>Everything in Its Right Place</t>
  </si>
  <si>
    <t>Pyramid Song</t>
  </si>
  <si>
    <t>Amnesiac</t>
  </si>
  <si>
    <t>No Surprises</t>
  </si>
  <si>
    <t>There, There</t>
  </si>
  <si>
    <t>Hail to the Thief</t>
  </si>
  <si>
    <t>Ratatat</t>
  </si>
  <si>
    <t>Seventeen Years</t>
  </si>
  <si>
    <t>Cream on Chrome</t>
  </si>
  <si>
    <t>Magnifique</t>
  </si>
  <si>
    <t>Wildcat</t>
  </si>
  <si>
    <t>Classics</t>
  </si>
  <si>
    <t>Loud Pipes</t>
  </si>
  <si>
    <t>Lex</t>
  </si>
  <si>
    <t>Abrasive</t>
  </si>
  <si>
    <t>Nostrand</t>
  </si>
  <si>
    <t>Rome</t>
  </si>
  <si>
    <t>El Pico</t>
  </si>
  <si>
    <t>Under the Bridge</t>
  </si>
  <si>
    <t>Scar Tissue</t>
  </si>
  <si>
    <t>Wet Sand</t>
  </si>
  <si>
    <t>Soul to Squeeze</t>
  </si>
  <si>
    <t>Can't Stop</t>
  </si>
  <si>
    <t>Californication</t>
  </si>
  <si>
    <t>I Could Have Lied</t>
  </si>
  <si>
    <t>Snow</t>
  </si>
  <si>
    <t>This Velvet Glove</t>
  </si>
  <si>
    <t>Katy Song</t>
  </si>
  <si>
    <t>Grace Cathedral Park</t>
  </si>
  <si>
    <t>Medicine Bottle</t>
  </si>
  <si>
    <t>Have You Forgotten</t>
  </si>
  <si>
    <t>Mistress</t>
  </si>
  <si>
    <t>Michael</t>
  </si>
  <si>
    <t>Drop</t>
  </si>
  <si>
    <t>San Geronimo</t>
  </si>
  <si>
    <t>Down Colorful Hill</t>
  </si>
  <si>
    <t>Strawberry Hill</t>
  </si>
  <si>
    <t>Us</t>
  </si>
  <si>
    <t>Samson</t>
  </si>
  <si>
    <t>Fidelity</t>
  </si>
  <si>
    <t>Apres Moi</t>
  </si>
  <si>
    <t>Chemo Limo</t>
  </si>
  <si>
    <t>Eet</t>
  </si>
  <si>
    <t>Ghost of Corporate Future</t>
  </si>
  <si>
    <t>Ode to Divorce</t>
  </si>
  <si>
    <t>Summer in the City</t>
  </si>
  <si>
    <t>Bastards of Young</t>
  </si>
  <si>
    <t>I Will Dare</t>
  </si>
  <si>
    <t>Alex Chilton</t>
  </si>
  <si>
    <t>Androgynous</t>
  </si>
  <si>
    <t>Left of the Dial</t>
  </si>
  <si>
    <t>Unsatisfied</t>
  </si>
  <si>
    <t>Can't Hardly Wait</t>
  </si>
  <si>
    <t>Here Comes a Regular</t>
  </si>
  <si>
    <t>Answering Machine</t>
  </si>
  <si>
    <t>Kiss Me on the Bus</t>
  </si>
  <si>
    <t>Vapor Trail</t>
  </si>
  <si>
    <t>Leave Them All Behind</t>
  </si>
  <si>
    <t>Dreams Burn Down</t>
  </si>
  <si>
    <t>Seagull</t>
  </si>
  <si>
    <t>Drive Blind</t>
  </si>
  <si>
    <t>Twisterella</t>
  </si>
  <si>
    <t>Polar Bear</t>
  </si>
  <si>
    <t>Unfamiliar</t>
  </si>
  <si>
    <t>Chelsea Girl</t>
  </si>
  <si>
    <t>Like a Daydream</t>
  </si>
  <si>
    <t>Rilo Kiley</t>
  </si>
  <si>
    <t>A Better Son/Daughter</t>
  </si>
  <si>
    <t>The Execution of All Things</t>
  </si>
  <si>
    <t>Science vs. Romance</t>
  </si>
  <si>
    <t>Take Offs and Landings</t>
  </si>
  <si>
    <t>Portions for Foxes</t>
  </si>
  <si>
    <t>More Adventurous</t>
  </si>
  <si>
    <t>Does He Love You?</t>
  </si>
  <si>
    <t>Pictures of Success</t>
  </si>
  <si>
    <t>With Arms Outstretched</t>
  </si>
  <si>
    <t>The Good That Won't Come Out</t>
  </si>
  <si>
    <t>Gimme Shelter</t>
  </si>
  <si>
    <t>Sympathy for the Devil</t>
  </si>
  <si>
    <t>Wild Horses</t>
  </si>
  <si>
    <t>Tumbling Dice</t>
  </si>
  <si>
    <t>Rocks Off</t>
  </si>
  <si>
    <t>Beast of Burden</t>
  </si>
  <si>
    <t>Paint it Black</t>
  </si>
  <si>
    <t>You Can't Always Get What You Want</t>
  </si>
  <si>
    <t>Can't You Hear Me Knocking</t>
  </si>
  <si>
    <t>Love is the Drug</t>
  </si>
  <si>
    <t>More Than This</t>
  </si>
  <si>
    <t>Street Life</t>
  </si>
  <si>
    <t>In Every Dream Home a Heartache</t>
  </si>
  <si>
    <t>If There is Something</t>
  </si>
  <si>
    <t>Mother of Pearl</t>
  </si>
  <si>
    <t>Editions of You</t>
  </si>
  <si>
    <t>All I Want is You</t>
  </si>
  <si>
    <t>Virginia Plain</t>
  </si>
  <si>
    <t>Run the Jewels</t>
  </si>
  <si>
    <t>Close Your Eyes (And Count to Fuck)</t>
  </si>
  <si>
    <t>Run the Jewels 2</t>
  </si>
  <si>
    <t>Walking in the Snow</t>
  </si>
  <si>
    <t>RTJ4</t>
  </si>
  <si>
    <t>Oh My Darling Don't Cry</t>
  </si>
  <si>
    <t>Legend Has It</t>
  </si>
  <si>
    <t>Run the Jewels 3</t>
  </si>
  <si>
    <t>JU$T</t>
  </si>
  <si>
    <t>Blockbuster Night, Pt. 1</t>
  </si>
  <si>
    <t>Lie, Cheat, Steal</t>
  </si>
  <si>
    <t>Jeopardy</t>
  </si>
  <si>
    <t>Farmer in the City</t>
  </si>
  <si>
    <t>The Electrician</t>
  </si>
  <si>
    <t>It's Raining Today</t>
  </si>
  <si>
    <t>The Old Man's Back Again (Dedicated to the Neo-Stalinist Regime)</t>
  </si>
  <si>
    <t>The Seventh Seal</t>
  </si>
  <si>
    <t>Epizootics!</t>
  </si>
  <si>
    <t>Jackie</t>
  </si>
  <si>
    <t>Montague Terrace (In Blue)</t>
  </si>
  <si>
    <t>Clara</t>
  </si>
  <si>
    <t>Mathilde</t>
  </si>
  <si>
    <t>Sebadoh</t>
  </si>
  <si>
    <t>Brand New Love</t>
  </si>
  <si>
    <t>Weed Forestin'</t>
  </si>
  <si>
    <t>Not Too Amused</t>
  </si>
  <si>
    <t>Bakesale</t>
  </si>
  <si>
    <t>Magnet's Coil</t>
  </si>
  <si>
    <t>The Freed Pig</t>
  </si>
  <si>
    <t>Sebadoh III</t>
  </si>
  <si>
    <t>Rebound</t>
  </si>
  <si>
    <t>Soul and Fire</t>
  </si>
  <si>
    <t>Bubble &amp; Scrape</t>
  </si>
  <si>
    <t>Skull</t>
  </si>
  <si>
    <t>Ocean</t>
  </si>
  <si>
    <t>Harmacy</t>
  </si>
  <si>
    <t>Not a Friend</t>
  </si>
  <si>
    <t>Got It</t>
  </si>
  <si>
    <t>Seventeen</t>
  </si>
  <si>
    <t>Your Love is Killing Me</t>
  </si>
  <si>
    <t>Every Time the Sun Comes Up</t>
  </si>
  <si>
    <t>Serpents</t>
  </si>
  <si>
    <t>Jupiter 4</t>
  </si>
  <si>
    <t>Tarifa</t>
  </si>
  <si>
    <t>One Day</t>
  </si>
  <si>
    <t>No One's Easy to Love</t>
  </si>
  <si>
    <t>Afraid of Nothing</t>
  </si>
  <si>
    <t>Australia</t>
  </si>
  <si>
    <t>New Slang</t>
  </si>
  <si>
    <t>Saint Simon</t>
  </si>
  <si>
    <t>Caring is Creepy</t>
  </si>
  <si>
    <t>Sleeping Lessons</t>
  </si>
  <si>
    <t>Phantom Limb</t>
  </si>
  <si>
    <t>Kissing the Lipless</t>
  </si>
  <si>
    <t>Simple Song</t>
  </si>
  <si>
    <t>Gone for Good</t>
  </si>
  <si>
    <t>A Comet Appears</t>
  </si>
  <si>
    <t>Random Rules</t>
  </si>
  <si>
    <t>Smith &amp; Jones Forever</t>
  </si>
  <si>
    <t>How to Rent a Room</t>
  </si>
  <si>
    <t>Trains Across the Sea</t>
  </si>
  <si>
    <t>The Wild Kindness</t>
  </si>
  <si>
    <t>Punks in the Beerlight</t>
  </si>
  <si>
    <t>Black and Brown Blues</t>
  </si>
  <si>
    <t>Pretty Eyes</t>
  </si>
  <si>
    <t>Tennessee</t>
  </si>
  <si>
    <t>Silversun Pickups</t>
  </si>
  <si>
    <t>Lazy Eye</t>
  </si>
  <si>
    <t>Carnavas</t>
  </si>
  <si>
    <t>Panic Switch</t>
  </si>
  <si>
    <t>Swoon</t>
  </si>
  <si>
    <t>The Royal We</t>
  </si>
  <si>
    <t>Substitution</t>
  </si>
  <si>
    <t>Well Thought Out Twinkles</t>
  </si>
  <si>
    <t>Kissing Families</t>
  </si>
  <si>
    <t>Pikul</t>
  </si>
  <si>
    <t>The Pit</t>
  </si>
  <si>
    <t>Neck of the Woods</t>
  </si>
  <si>
    <t>Circadian Rhythm (Last Dance)</t>
  </si>
  <si>
    <t>Better Nature</t>
  </si>
  <si>
    <t>Three Seed</t>
  </si>
  <si>
    <t>Bloody Mary (Nerve Endings)</t>
  </si>
  <si>
    <t>Siouxsie and the Banshees</t>
  </si>
  <si>
    <t>Spellbound</t>
  </si>
  <si>
    <t>Juju</t>
  </si>
  <si>
    <t>Cities in Dust</t>
  </si>
  <si>
    <t>Tinderbox</t>
  </si>
  <si>
    <t>Hong Kong Garden</t>
  </si>
  <si>
    <t>Arabian Knights</t>
  </si>
  <si>
    <t>Halloween</t>
  </si>
  <si>
    <t>Monitor</t>
  </si>
  <si>
    <t>Happy House</t>
  </si>
  <si>
    <t>Kaleidoscope</t>
  </si>
  <si>
    <t>Dazzle</t>
  </si>
  <si>
    <t>Hyæna</t>
  </si>
  <si>
    <t>Christine</t>
  </si>
  <si>
    <t>Kiss Them for Me</t>
  </si>
  <si>
    <t>Superstition</t>
  </si>
  <si>
    <t>One More Hour</t>
  </si>
  <si>
    <t>Jumpers</t>
  </si>
  <si>
    <t>Modern Girl</t>
  </si>
  <si>
    <t>Entertain</t>
  </si>
  <si>
    <t>Dig Me Out</t>
  </si>
  <si>
    <t>The Fox</t>
  </si>
  <si>
    <t>One Beat</t>
  </si>
  <si>
    <t>Get Up</t>
  </si>
  <si>
    <t>Words and Guitar</t>
  </si>
  <si>
    <t>I Wanna Be Your Joey Ramone</t>
  </si>
  <si>
    <t>Sleigh Bells</t>
  </si>
  <si>
    <t>Rill Rill</t>
  </si>
  <si>
    <t>Treats</t>
  </si>
  <si>
    <t>Infinity Guitars</t>
  </si>
  <si>
    <t>Crown on the Ground</t>
  </si>
  <si>
    <t>Tell 'Em</t>
  </si>
  <si>
    <t>Locus Laced</t>
  </si>
  <si>
    <t>Texis</t>
  </si>
  <si>
    <t>Riot Rhythm</t>
  </si>
  <si>
    <t>Comeback Kid</t>
  </si>
  <si>
    <t>Reign of Terror</t>
  </si>
  <si>
    <t>A/B Machines</t>
  </si>
  <si>
    <t>Demons</t>
  </si>
  <si>
    <t>When the Sun Hits</t>
  </si>
  <si>
    <t>Souvlaki Space Station</t>
  </si>
  <si>
    <t>Slomo</t>
  </si>
  <si>
    <t>40 Days</t>
  </si>
  <si>
    <t>Machine Gun</t>
  </si>
  <si>
    <t>Catch the Breeze</t>
  </si>
  <si>
    <t>Blue Skied an' Clear</t>
  </si>
  <si>
    <t>Star Roving</t>
  </si>
  <si>
    <t>Dagger</t>
  </si>
  <si>
    <t>Farewell Transmission</t>
  </si>
  <si>
    <t>Hold On Magnolia</t>
  </si>
  <si>
    <t>Just Be Simple</t>
  </si>
  <si>
    <t>Captain Badass</t>
  </si>
  <si>
    <t>Lioness</t>
  </si>
  <si>
    <t>I've Been Riding With the Ghost</t>
  </si>
  <si>
    <t>The Black Crow</t>
  </si>
  <si>
    <t>Almost Was Good Enough</t>
  </si>
  <si>
    <t>Coxcomb Red</t>
  </si>
  <si>
    <t>Tigress</t>
  </si>
  <si>
    <t>SOPHIE</t>
  </si>
  <si>
    <t>Immaterial</t>
  </si>
  <si>
    <t>Oil of Every Pearl's Un-Insides</t>
  </si>
  <si>
    <t>Bipp</t>
  </si>
  <si>
    <t>Product</t>
  </si>
  <si>
    <t>Faceshopping</t>
  </si>
  <si>
    <t>Just Like We Never Said Goodbye</t>
  </si>
  <si>
    <t>Ponyboy</t>
  </si>
  <si>
    <t>Hard</t>
  </si>
  <si>
    <t>Is It Cold in the Water?</t>
  </si>
  <si>
    <t>It's Okay to Cry</t>
  </si>
  <si>
    <t>Infatuation</t>
  </si>
  <si>
    <t>Walkin' With Jesus</t>
  </si>
  <si>
    <t>Lord Can You Hear Me?</t>
  </si>
  <si>
    <t>Hey Man</t>
  </si>
  <si>
    <t>Suicide</t>
  </si>
  <si>
    <t>Come Down Easy</t>
  </si>
  <si>
    <t>Take Me to the Other Side</t>
  </si>
  <si>
    <t>Hypnotized</t>
  </si>
  <si>
    <t>Losing Touch With My Mind</t>
  </si>
  <si>
    <t>Transparent Radiation</t>
  </si>
  <si>
    <t>Gold Day</t>
  </si>
  <si>
    <t>Pig</t>
  </si>
  <si>
    <t>Piano Fire</t>
  </si>
  <si>
    <t>Cow</t>
  </si>
  <si>
    <t>Don't Take My Sunshine Away</t>
  </si>
  <si>
    <t>Sick of Goodbyes</t>
  </si>
  <si>
    <t>Someday I Will Treat You Good</t>
  </si>
  <si>
    <t>Shade and Honey</t>
  </si>
  <si>
    <t>Rainmaker</t>
  </si>
  <si>
    <t>Speedy Ortiz</t>
  </si>
  <si>
    <t>No Below</t>
  </si>
  <si>
    <t>Major Arcana</t>
  </si>
  <si>
    <t>Tiger Tank</t>
  </si>
  <si>
    <t>Raising the Skate</t>
  </si>
  <si>
    <t>Foil Deer</t>
  </si>
  <si>
    <t>Pioneer Spine</t>
  </si>
  <si>
    <t>Silver Spring</t>
  </si>
  <si>
    <t>Sports EP</t>
  </si>
  <si>
    <t>The Graduates</t>
  </si>
  <si>
    <t>MKVI</t>
  </si>
  <si>
    <t>Casper (1995)</t>
  </si>
  <si>
    <t>Cash Cab</t>
  </si>
  <si>
    <t>Basketball</t>
  </si>
  <si>
    <t>Spoon</t>
  </si>
  <si>
    <t>They Want My Soul</t>
  </si>
  <si>
    <t>You Got Yr. Cherry Bomb</t>
  </si>
  <si>
    <t>Ga Ga Ga Ga Ga</t>
  </si>
  <si>
    <t>The Beast and Dragon, Adored</t>
  </si>
  <si>
    <t>Gimme Fiction</t>
  </si>
  <si>
    <t>The Underdog</t>
  </si>
  <si>
    <t>The Way We Get By</t>
  </si>
  <si>
    <t>Kill the Moonlight</t>
  </si>
  <si>
    <t>Don't Make Me a Target</t>
  </si>
  <si>
    <t>I Summon You</t>
  </si>
  <si>
    <t>Don't You Evah</t>
  </si>
  <si>
    <t>Do You</t>
  </si>
  <si>
    <t>Everything Hits at Once</t>
  </si>
  <si>
    <t>Girls Can Tell</t>
  </si>
  <si>
    <t>I Think I'm in Love</t>
  </si>
  <si>
    <t>Hey Jane</t>
  </si>
  <si>
    <t>Broken Heart</t>
  </si>
  <si>
    <t>Cop Shoot Cop...</t>
  </si>
  <si>
    <t>Shine a Light</t>
  </si>
  <si>
    <t>Medication</t>
  </si>
  <si>
    <t>Cool Waves</t>
  </si>
  <si>
    <t>Let It Flow</t>
  </si>
  <si>
    <t>St. Vincent</t>
  </si>
  <si>
    <t>Cruel</t>
  </si>
  <si>
    <t>Strange Mercy</t>
  </si>
  <si>
    <t>Surgeon</t>
  </si>
  <si>
    <t>Marrow</t>
  </si>
  <si>
    <t>Actor</t>
  </si>
  <si>
    <t>Digital Witness</t>
  </si>
  <si>
    <t>The Party</t>
  </si>
  <si>
    <t>Birth In Reverse</t>
  </si>
  <si>
    <t>Fast Slow Disco</t>
  </si>
  <si>
    <t>Los Ageless</t>
  </si>
  <si>
    <t>Masseduction</t>
  </si>
  <si>
    <t>The Stranger</t>
  </si>
  <si>
    <t>Rawnald Gregory Erickson the Second</t>
  </si>
  <si>
    <t>Pop Song</t>
  </si>
  <si>
    <t>Isabella of Castile</t>
  </si>
  <si>
    <t>Bury Us Alive</t>
  </si>
  <si>
    <t>Kahlil Gibran</t>
  </si>
  <si>
    <t>Julius</t>
  </si>
  <si>
    <t>Open Your Eyes</t>
  </si>
  <si>
    <t>While I'm Alive</t>
  </si>
  <si>
    <t>Tape Machine</t>
  </si>
  <si>
    <t>Florida</t>
  </si>
  <si>
    <t>The Free Design</t>
  </si>
  <si>
    <t>Cybele's Reverie</t>
  </si>
  <si>
    <t>Brakhage</t>
  </si>
  <si>
    <t>French Disko</t>
  </si>
  <si>
    <t>Lo Boob Oscillator</t>
  </si>
  <si>
    <t>Miss Modular</t>
  </si>
  <si>
    <t>Ping Pong</t>
  </si>
  <si>
    <t>Jenny Ondioline</t>
  </si>
  <si>
    <t>Percolator</t>
  </si>
  <si>
    <t>Fluorescences</t>
  </si>
  <si>
    <t>I am the Resurrection</t>
  </si>
  <si>
    <t>I Wanna Be Adored</t>
  </si>
  <si>
    <t>She Bangs the Drum</t>
  </si>
  <si>
    <t>Fool's Gold</t>
  </si>
  <si>
    <t>Waterfall</t>
  </si>
  <si>
    <t>This Is the One</t>
  </si>
  <si>
    <t>Made of Stone</t>
  </si>
  <si>
    <t>Elephant Stone</t>
  </si>
  <si>
    <t>Love Spreads</t>
  </si>
  <si>
    <t>Sally Cinnamon</t>
  </si>
  <si>
    <t>Search and Destroy</t>
  </si>
  <si>
    <t>Down on the Street</t>
  </si>
  <si>
    <t>I Wanna Be Your Dog</t>
  </si>
  <si>
    <t>Gimme Danger</t>
  </si>
  <si>
    <t>T.V. Eye</t>
  </si>
  <si>
    <t>Loose</t>
  </si>
  <si>
    <t>Fun House</t>
  </si>
  <si>
    <t>Raw Power</t>
  </si>
  <si>
    <t>The Strokes</t>
  </si>
  <si>
    <t>Reptilia</t>
  </si>
  <si>
    <t>Room on Fire</t>
  </si>
  <si>
    <t>Hard to Explain</t>
  </si>
  <si>
    <t>Is This It</t>
  </si>
  <si>
    <t>Someday</t>
  </si>
  <si>
    <t>The Adults are Talking</t>
  </si>
  <si>
    <t>The New Abnormal</t>
  </si>
  <si>
    <t>You Only Live Once</t>
  </si>
  <si>
    <t>First Impressions of Earth</t>
  </si>
  <si>
    <t>The Modern Age</t>
  </si>
  <si>
    <t>Ode to the Mets</t>
  </si>
  <si>
    <t>Under Cover of Darkness</t>
  </si>
  <si>
    <t>Is This It?</t>
  </si>
  <si>
    <t>What Ever Happened?</t>
  </si>
  <si>
    <t>Sufjan Stevens</t>
  </si>
  <si>
    <t>Death with Dignity</t>
  </si>
  <si>
    <t>Carrie &amp; Lowell</t>
  </si>
  <si>
    <t>Should Have Known Better</t>
  </si>
  <si>
    <t>The Only Thing</t>
  </si>
  <si>
    <t>Sunny Day Real Estate</t>
  </si>
  <si>
    <t>Diary</t>
  </si>
  <si>
    <t>In Circles</t>
  </si>
  <si>
    <t>Pillars</t>
  </si>
  <si>
    <t>How It Feels to Be Something On</t>
  </si>
  <si>
    <t>Guitar and Video Games</t>
  </si>
  <si>
    <t>Song About an Angel</t>
  </si>
  <si>
    <t>Theo B</t>
  </si>
  <si>
    <t>Every Shining Time You Arrive</t>
  </si>
  <si>
    <t>Detroit Has a Skyline</t>
  </si>
  <si>
    <t>Driveway to Driveway</t>
  </si>
  <si>
    <t>Like a Fool</t>
  </si>
  <si>
    <t>Precision Auto</t>
  </si>
  <si>
    <t>Slack Motherfucker</t>
  </si>
  <si>
    <t>Seed Toss</t>
  </si>
  <si>
    <t>The First Part</t>
  </si>
  <si>
    <t>Iron On</t>
  </si>
  <si>
    <t>Learned to Surf</t>
  </si>
  <si>
    <t>Package Thief</t>
  </si>
  <si>
    <t>Super Furry Animals</t>
  </si>
  <si>
    <t>Juxtapozed with U</t>
  </si>
  <si>
    <t>Rings Around the World</t>
  </si>
  <si>
    <t>The Man Don't Give a Fuck</t>
  </si>
  <si>
    <t>Slow Life</t>
  </si>
  <si>
    <t>Phantom Power</t>
  </si>
  <si>
    <t>Hermann Loves Pauline</t>
  </si>
  <si>
    <t>Radiator</t>
  </si>
  <si>
    <t>Northern Lites</t>
  </si>
  <si>
    <t>Guerilla</t>
  </si>
  <si>
    <t>Something 4 the Weekend</t>
  </si>
  <si>
    <t>Fuzzy Logic</t>
  </si>
  <si>
    <t>Receptacle for the Respectable</t>
  </si>
  <si>
    <t>It's Not the End of the World?</t>
  </si>
  <si>
    <t>Hello Sunshine</t>
  </si>
  <si>
    <t>Sweet Trip</t>
  </si>
  <si>
    <t>Total</t>
  </si>
  <si>
    <t>Dsco</t>
  </si>
  <si>
    <t>Velocity : Design : Comfort</t>
  </si>
  <si>
    <t>You Will Never Know Why</t>
  </si>
  <si>
    <t>Milk</t>
  </si>
  <si>
    <t>Your World is Eternally Complete</t>
  </si>
  <si>
    <t>Chocolate Matter</t>
  </si>
  <si>
    <t>Pretending</t>
  </si>
  <si>
    <t>To All the Dancers of the World, a Round Form of Fantasy</t>
  </si>
  <si>
    <t>Air Supply</t>
  </si>
  <si>
    <t>Fruitcake and Cookies</t>
  </si>
  <si>
    <t>International</t>
  </si>
  <si>
    <t>The Gardener</t>
  </si>
  <si>
    <t>The Wild Hunt</t>
  </si>
  <si>
    <t>Burden of Tomorrow</t>
  </si>
  <si>
    <t>Love is All</t>
  </si>
  <si>
    <t>King of Spain</t>
  </si>
  <si>
    <t>The Dreamer</t>
  </si>
  <si>
    <t>This Wind</t>
  </si>
  <si>
    <t>Where Do My Bluebird Fly</t>
  </si>
  <si>
    <t>Wind and Walls</t>
  </si>
  <si>
    <t>New Grass</t>
  </si>
  <si>
    <t>After the Flood</t>
  </si>
  <si>
    <t>The Rainbow</t>
  </si>
  <si>
    <t>I Believe in You</t>
  </si>
  <si>
    <t xml:space="preserve">Eden </t>
  </si>
  <si>
    <t>Ascension Day</t>
  </si>
  <si>
    <t>Myrrhman</t>
  </si>
  <si>
    <t>Living in Another World</t>
  </si>
  <si>
    <t>Taphead</t>
  </si>
  <si>
    <t>Talking Heads</t>
  </si>
  <si>
    <t>This Must Be the Place (Naive Melody)</t>
  </si>
  <si>
    <t>Once in a Lifetime</t>
  </si>
  <si>
    <t>Born Under Punches (The Heat Goes On)</t>
  </si>
  <si>
    <t>Life During Wartime</t>
  </si>
  <si>
    <t>The Great Curve</t>
  </si>
  <si>
    <t>Crosseyed and Painless</t>
  </si>
  <si>
    <t>Psycho Killer</t>
  </si>
  <si>
    <t>Burning Down the House</t>
  </si>
  <si>
    <t>I Zimbra</t>
  </si>
  <si>
    <t>Road to Nowhere</t>
  </si>
  <si>
    <t>Little Creatures</t>
  </si>
  <si>
    <t>Tears for Fears</t>
  </si>
  <si>
    <t>Head Over Heels</t>
  </si>
  <si>
    <t>Songs from the Big Chair</t>
  </si>
  <si>
    <t>Everybody Wants to Rule the World</t>
  </si>
  <si>
    <t>Shout</t>
  </si>
  <si>
    <t>Mad World</t>
  </si>
  <si>
    <t>The Hurting</t>
  </si>
  <si>
    <t>Pale Shelter</t>
  </si>
  <si>
    <t>Sowing the Seeds of Love</t>
  </si>
  <si>
    <t>The Seeds of Love</t>
  </si>
  <si>
    <t>Woman in Chains</t>
  </si>
  <si>
    <t>Mothers Talk</t>
  </si>
  <si>
    <t>Change</t>
  </si>
  <si>
    <t>The Working Hour</t>
  </si>
  <si>
    <t>Marquee Moon</t>
  </si>
  <si>
    <t>Venus</t>
  </si>
  <si>
    <t>See No Evil</t>
  </si>
  <si>
    <t>Friction</t>
  </si>
  <si>
    <t>Prove It</t>
  </si>
  <si>
    <t>Elevation</t>
  </si>
  <si>
    <t>Guiding Light</t>
  </si>
  <si>
    <t>Torn Curtain</t>
  </si>
  <si>
    <t>Days</t>
  </si>
  <si>
    <t>Little Johnny Jewel</t>
  </si>
  <si>
    <t>Birdhouse in Your Soul</t>
  </si>
  <si>
    <t>Ana Ng</t>
  </si>
  <si>
    <t>Don't Let's Start</t>
  </si>
  <si>
    <t>The End of the Tour</t>
  </si>
  <si>
    <t>They'll Need a Crane</t>
  </si>
  <si>
    <t>Doctor Worm</t>
  </si>
  <si>
    <t>Where Your Eyes Don't Go</t>
  </si>
  <si>
    <t>Dead</t>
  </si>
  <si>
    <t>I Palindrome I</t>
  </si>
  <si>
    <t>Can't Keep Johnny Down</t>
  </si>
  <si>
    <t>Thom Yorke</t>
  </si>
  <si>
    <t>Dawn Chorus</t>
  </si>
  <si>
    <t>Anima</t>
  </si>
  <si>
    <t>Unmade</t>
  </si>
  <si>
    <t>Suspiria</t>
  </si>
  <si>
    <t>Suspirium</t>
  </si>
  <si>
    <t>The Eraser</t>
  </si>
  <si>
    <t>Black Swan</t>
  </si>
  <si>
    <t>Twist</t>
  </si>
  <si>
    <t>Harrowdown Hill</t>
  </si>
  <si>
    <t>Traffic</t>
  </si>
  <si>
    <t>Not the News</t>
  </si>
  <si>
    <t>Analyse</t>
  </si>
  <si>
    <t>Tim Hecker</t>
  </si>
  <si>
    <t>Live Room</t>
  </si>
  <si>
    <t>Virgins</t>
  </si>
  <si>
    <t>Dungeoneering</t>
  </si>
  <si>
    <t>Harmony in Ultraviolet</t>
  </si>
  <si>
    <t>Stab Variation</t>
  </si>
  <si>
    <t>The Piano Drop</t>
  </si>
  <si>
    <t>Ravedeath, 1972</t>
  </si>
  <si>
    <t>Hatred of Music I</t>
  </si>
  <si>
    <t>Virginal I</t>
  </si>
  <si>
    <t>Black Refraction</t>
  </si>
  <si>
    <t>No Drums</t>
  </si>
  <si>
    <t>(They Call Me) Jimmy</t>
  </si>
  <si>
    <t>Radio Amor</t>
  </si>
  <si>
    <t>In the Air II</t>
  </si>
  <si>
    <t>A More Perfect Union</t>
  </si>
  <si>
    <t>The Battle of Hampton Roads</t>
  </si>
  <si>
    <t>Dimed Out</t>
  </si>
  <si>
    <t>A Pot in Which to Piss</t>
  </si>
  <si>
    <t>No Future Part Three: Escape from No Future</t>
  </si>
  <si>
    <t>Four Score and Seven</t>
  </si>
  <si>
    <t>Richard II</t>
  </si>
  <si>
    <t>Fired Up</t>
  </si>
  <si>
    <t>Titus Andronicus</t>
  </si>
  <si>
    <t>Theme from "Cheers"</t>
  </si>
  <si>
    <t>Anywhere I Lay My Head</t>
  </si>
  <si>
    <t>Jockey Full of Bourbon</t>
  </si>
  <si>
    <t>Come On Up to the House</t>
  </si>
  <si>
    <t>Alice</t>
  </si>
  <si>
    <t>Martha</t>
  </si>
  <si>
    <t>Hold On</t>
  </si>
  <si>
    <t>Tom Traubert's Blues (Four Sheets to the Wind in Copenhagen)</t>
  </si>
  <si>
    <t>Downtown Train</t>
  </si>
  <si>
    <t>Clap Hands</t>
  </si>
  <si>
    <t>Goin' Out West</t>
  </si>
  <si>
    <t>Tool</t>
  </si>
  <si>
    <t>Lateralus</t>
  </si>
  <si>
    <t>Parabola</t>
  </si>
  <si>
    <t>The Grudge</t>
  </si>
  <si>
    <t>AEnema</t>
  </si>
  <si>
    <t>AEnima</t>
  </si>
  <si>
    <t>Forty Six &amp; 2</t>
  </si>
  <si>
    <t>Schism</t>
  </si>
  <si>
    <t>Stinkfist</t>
  </si>
  <si>
    <t>Eulogy</t>
  </si>
  <si>
    <t>The Pot</t>
  </si>
  <si>
    <t>10,000 Days</t>
  </si>
  <si>
    <t>Vicarious</t>
  </si>
  <si>
    <t>Tori Amos</t>
  </si>
  <si>
    <t>Precious Things</t>
  </si>
  <si>
    <t>Little Earthquakes</t>
  </si>
  <si>
    <t>Pretty Good Year</t>
  </si>
  <si>
    <t>Under the Pink</t>
  </si>
  <si>
    <t>Father Lucifer</t>
  </si>
  <si>
    <t>Boys for Pele</t>
  </si>
  <si>
    <t>Spark</t>
  </si>
  <si>
    <t>From the Choirgirl Hotel</t>
  </si>
  <si>
    <t>Winter</t>
  </si>
  <si>
    <t>Caught a Lite Sneeze</t>
  </si>
  <si>
    <t>Carbon</t>
  </si>
  <si>
    <t>Scarlet's Walk</t>
  </si>
  <si>
    <t>Spring Haze</t>
  </si>
  <si>
    <t>To Venus and Back</t>
  </si>
  <si>
    <t>Doughnut Song</t>
  </si>
  <si>
    <t>So Many Details</t>
  </si>
  <si>
    <t>New Beat</t>
  </si>
  <si>
    <t>Still Sound</t>
  </si>
  <si>
    <t>Say That</t>
  </si>
  <si>
    <t>Low Shoulder</t>
  </si>
  <si>
    <t>Talamak</t>
  </si>
  <si>
    <t>Blessa</t>
  </si>
  <si>
    <t>Rose Quartz</t>
  </si>
  <si>
    <t>How I Know</t>
  </si>
  <si>
    <t>Girl Like You</t>
  </si>
  <si>
    <t>Tropical Fuck Storm</t>
  </si>
  <si>
    <t>You Let My Tyres Down</t>
  </si>
  <si>
    <t>A Laughing Death in Meatspace</t>
  </si>
  <si>
    <t>Paradise</t>
  </si>
  <si>
    <t>Braindrops</t>
  </si>
  <si>
    <t>Who's My Eugene?</t>
  </si>
  <si>
    <t>Chameleon Pain</t>
  </si>
  <si>
    <t>Antimatter Animals</t>
  </si>
  <si>
    <t>The Future of History</t>
  </si>
  <si>
    <t>Maria 63</t>
  </si>
  <si>
    <t>The Planet of Straw Men</t>
  </si>
  <si>
    <t>Bizness</t>
  </si>
  <si>
    <t>Water Fountain</t>
  </si>
  <si>
    <t>Gangsta</t>
  </si>
  <si>
    <t>My Country</t>
  </si>
  <si>
    <t>Powa</t>
  </si>
  <si>
    <t>Wait for a Minute</t>
  </si>
  <si>
    <t>Doorstep</t>
  </si>
  <si>
    <t>Fiya</t>
  </si>
  <si>
    <t>Real Thing</t>
  </si>
  <si>
    <t>Look at Your Hands</t>
  </si>
  <si>
    <t>Twin Peaks</t>
  </si>
  <si>
    <t>Making Breakfast</t>
  </si>
  <si>
    <t>Wild Onion</t>
  </si>
  <si>
    <t>Blue Coupe</t>
  </si>
  <si>
    <t>Wanted You</t>
  </si>
  <si>
    <t>Down in Heaven</t>
  </si>
  <si>
    <t>Butterfly</t>
  </si>
  <si>
    <t>In the Meadow</t>
  </si>
  <si>
    <t>Strawberry Smoothie</t>
  </si>
  <si>
    <t>Boomers</t>
  </si>
  <si>
    <t>Sunken</t>
  </si>
  <si>
    <t>We Will Not Make It</t>
  </si>
  <si>
    <t>Walk to the One You Love</t>
  </si>
  <si>
    <t>Irene</t>
  </si>
  <si>
    <t>Undercover Martyn</t>
  </si>
  <si>
    <t>What You Know</t>
  </si>
  <si>
    <t>Something Good Can Work</t>
  </si>
  <si>
    <t>Cigarettes in the Theatre</t>
  </si>
  <si>
    <t>Eat That Up, It's Good for You</t>
  </si>
  <si>
    <t>I Can Talk</t>
  </si>
  <si>
    <t>Next Year</t>
  </si>
  <si>
    <t>Changing of the Seasons</t>
  </si>
  <si>
    <t>Sleep Alone</t>
  </si>
  <si>
    <t>Girlfriend</t>
  </si>
  <si>
    <t>My Sunshine</t>
  </si>
  <si>
    <t>You're the Doctor</t>
  </si>
  <si>
    <t>Wave Goodbye</t>
  </si>
  <si>
    <t>Finger</t>
  </si>
  <si>
    <t>Caesar</t>
  </si>
  <si>
    <t>Goodbye Bread</t>
  </si>
  <si>
    <t>I Bought My Eyes</t>
  </si>
  <si>
    <t>Would You Be My Love</t>
  </si>
  <si>
    <t>Where the Streets Have No Name</t>
  </si>
  <si>
    <t>Bad</t>
  </si>
  <si>
    <t>One</t>
  </si>
  <si>
    <t>Sunday Bloody Sunday</t>
  </si>
  <si>
    <t>With or Without You</t>
  </si>
  <si>
    <t>Stay (Faraway, So Close!)</t>
  </si>
  <si>
    <t>New Year's Day</t>
  </si>
  <si>
    <t>I Still Haven't Found What I'm Looking For</t>
  </si>
  <si>
    <t>A Sort of Homecoming</t>
  </si>
  <si>
    <t>Pride (In the Name of Love)</t>
  </si>
  <si>
    <t>So Good at Being in Trouble</t>
  </si>
  <si>
    <t>Hunnybee</t>
  </si>
  <si>
    <t>Multi-Love</t>
  </si>
  <si>
    <t>Can't Keep Checking My Phone</t>
  </si>
  <si>
    <t>From the Sun</t>
  </si>
  <si>
    <t>Swim and Sleep</t>
  </si>
  <si>
    <t>Ffunny Ffrends</t>
  </si>
  <si>
    <t>Puzzles</t>
  </si>
  <si>
    <t>Necessary Evil</t>
  </si>
  <si>
    <t>The World is Crowded</t>
  </si>
  <si>
    <t>Unwound</t>
  </si>
  <si>
    <t>Below the Salt</t>
  </si>
  <si>
    <t>Leaves Turn Inside You</t>
  </si>
  <si>
    <t>Terminus</t>
  </si>
  <si>
    <t>October All Over</t>
  </si>
  <si>
    <t>Lady Elect</t>
  </si>
  <si>
    <t>Repetition</t>
  </si>
  <si>
    <t>All Souls Day</t>
  </si>
  <si>
    <t>New Plastic Ideas</t>
  </si>
  <si>
    <t>Kantina</t>
  </si>
  <si>
    <t>Fake Train</t>
  </si>
  <si>
    <t>Corpse Pose</t>
  </si>
  <si>
    <t>For Your Entertainment</t>
  </si>
  <si>
    <t>Arboretum</t>
  </si>
  <si>
    <t>Fiction Friction</t>
  </si>
  <si>
    <t>Wetsuit</t>
  </si>
  <si>
    <t>All in White</t>
  </si>
  <si>
    <t>Norgaard</t>
  </si>
  <si>
    <t>If You Wanna</t>
  </si>
  <si>
    <t>I Always Knew</t>
  </si>
  <si>
    <t>Wreckin' Bar (Ra Ra Ra)</t>
  </si>
  <si>
    <t>Post Break-Up Sex</t>
  </si>
  <si>
    <t>Teenage Icon</t>
  </si>
  <si>
    <t>No Hope</t>
  </si>
  <si>
    <t>Handsome</t>
  </si>
  <si>
    <t>Hannah Hunt</t>
  </si>
  <si>
    <t>Step</t>
  </si>
  <si>
    <t>Oxford Comma</t>
  </si>
  <si>
    <t>Walcott</t>
  </si>
  <si>
    <t>Diane Young</t>
  </si>
  <si>
    <t>Diplomat's Son</t>
  </si>
  <si>
    <t>Ya Hey</t>
  </si>
  <si>
    <t>Giving Up the Gun</t>
  </si>
  <si>
    <t>Harmony Hall</t>
  </si>
  <si>
    <t>Unbelievers</t>
  </si>
  <si>
    <t>The Velvet Underground</t>
  </si>
  <si>
    <t>Heroin</t>
  </si>
  <si>
    <t>The Velvet Underground &amp; Nico</t>
  </si>
  <si>
    <t>Sunday Morning</t>
  </si>
  <si>
    <t>I'm Waiting for the Man</t>
  </si>
  <si>
    <t>Venus in Furs</t>
  </si>
  <si>
    <t>Pale Blue Eyes</t>
  </si>
  <si>
    <t>Sister Ray</t>
  </si>
  <si>
    <t>White Light/White Heat</t>
  </si>
  <si>
    <t>Sweet Jane</t>
  </si>
  <si>
    <t>All Tomorrow's Parties</t>
  </si>
  <si>
    <t>Candy Says</t>
  </si>
  <si>
    <t>White Heat/White Light</t>
  </si>
  <si>
    <t>The Rat</t>
  </si>
  <si>
    <t>We've Been Had</t>
  </si>
  <si>
    <t>In the New Year</t>
  </si>
  <si>
    <t>Angela Surf City</t>
  </si>
  <si>
    <t>We Can't Be Beat</t>
  </si>
  <si>
    <t>Little House of Savages</t>
  </si>
  <si>
    <t>Juveniles</t>
  </si>
  <si>
    <t>Woe is Me</t>
  </si>
  <si>
    <t>The War on Drugs</t>
  </si>
  <si>
    <t>Red Eyes</t>
  </si>
  <si>
    <t>Under the Pressure</t>
  </si>
  <si>
    <t>Thinking of a Place</t>
  </si>
  <si>
    <t>A Deeper Understanding</t>
  </si>
  <si>
    <t>An Ocean in Between the Waves</t>
  </si>
  <si>
    <t>Pain</t>
  </si>
  <si>
    <t>Strangest Thing</t>
  </si>
  <si>
    <t>I Don't Live Here Anymore</t>
  </si>
  <si>
    <t>Harmonia's Dream</t>
  </si>
  <si>
    <t>Eyes to the Wind</t>
  </si>
  <si>
    <t>In Reverse</t>
  </si>
  <si>
    <t>Feel It All Around</t>
  </si>
  <si>
    <t>New Theory</t>
  </si>
  <si>
    <t>Amor Fati</t>
  </si>
  <si>
    <t>Eyes Be Closed</t>
  </si>
  <si>
    <t>Soft</t>
  </si>
  <si>
    <t>It All Feels Right</t>
  </si>
  <si>
    <t>Before</t>
  </si>
  <si>
    <t>All I Know</t>
  </si>
  <si>
    <t>Don't Give Up</t>
  </si>
  <si>
    <t>A Dedication</t>
  </si>
  <si>
    <t>King of the Beach</t>
  </si>
  <si>
    <t>Demon to Lean On</t>
  </si>
  <si>
    <t>Nine is God</t>
  </si>
  <si>
    <t>Sail to the Sun</t>
  </si>
  <si>
    <t>Afraid of Heights</t>
  </si>
  <si>
    <t>Way Too Much</t>
  </si>
  <si>
    <t>My Head Hurts</t>
  </si>
  <si>
    <t>No Hope Kids</t>
  </si>
  <si>
    <t>Idiot</t>
  </si>
  <si>
    <t>Waxahatchee</t>
  </si>
  <si>
    <t>Fire</t>
  </si>
  <si>
    <t>Saint Cloud</t>
  </si>
  <si>
    <t>Out in the Storm</t>
  </si>
  <si>
    <t>Can't Do Much</t>
  </si>
  <si>
    <t>Lilacs</t>
  </si>
  <si>
    <t>Never Been Wrong</t>
  </si>
  <si>
    <t>Swan Dive</t>
  </si>
  <si>
    <t>Cerulean Salt</t>
  </si>
  <si>
    <t>Noccalula</t>
  </si>
  <si>
    <t>American Weekend</t>
  </si>
  <si>
    <t>Recite Remorse</t>
  </si>
  <si>
    <t>Under a Rock</t>
  </si>
  <si>
    <t>Ivy Tripp</t>
  </si>
  <si>
    <t>Chapel of Pines</t>
  </si>
  <si>
    <t>Great Thunder EP</t>
  </si>
  <si>
    <t>Buckingham Green</t>
  </si>
  <si>
    <t>Transdermal Celebration</t>
  </si>
  <si>
    <t>The Mollusk</t>
  </si>
  <si>
    <t>The Argus</t>
  </si>
  <si>
    <t>She Wanted to Leave</t>
  </si>
  <si>
    <t>I Don't Want It</t>
  </si>
  <si>
    <t>What Deaner Was Talkin' About</t>
  </si>
  <si>
    <t>Baby Bitch</t>
  </si>
  <si>
    <t>Mutilated Lips</t>
  </si>
  <si>
    <t>Birthday Boy</t>
  </si>
  <si>
    <t>Say It Ain't So</t>
  </si>
  <si>
    <t>Only in Dreams</t>
  </si>
  <si>
    <t>El Scorcho</t>
  </si>
  <si>
    <t>Across the Sea</t>
  </si>
  <si>
    <t>My Name is Jonas</t>
  </si>
  <si>
    <t>Buddy Holly</t>
  </si>
  <si>
    <t>The Good Life</t>
  </si>
  <si>
    <t>Tired of Sex</t>
  </si>
  <si>
    <t>Undone - The Sweater Song</t>
  </si>
  <si>
    <t>The World Has Turned and Left Me Here</t>
  </si>
  <si>
    <t>Weyes Blood</t>
  </si>
  <si>
    <t>Andromeda</t>
  </si>
  <si>
    <t>Titanic Rising</t>
  </si>
  <si>
    <t>Movies</t>
  </si>
  <si>
    <t>Everyday</t>
  </si>
  <si>
    <t>A Lot's Gonna Change</t>
  </si>
  <si>
    <t>Something to Believe</t>
  </si>
  <si>
    <t>Wild Time</t>
  </si>
  <si>
    <t>Do You Need My Love?</t>
  </si>
  <si>
    <t>Front Row Seat to Earth</t>
  </si>
  <si>
    <t>Seven Words</t>
  </si>
  <si>
    <t>Used to Be</t>
  </si>
  <si>
    <t>Picture Me Better</t>
  </si>
  <si>
    <t>Fell in Love with a Girl</t>
  </si>
  <si>
    <t>Dead Leaves and the Dirty Ground</t>
  </si>
  <si>
    <t>Ball and Biscuit</t>
  </si>
  <si>
    <t>Seven Nation Army</t>
  </si>
  <si>
    <t>Black Math</t>
  </si>
  <si>
    <t>Icky Thump</t>
  </si>
  <si>
    <t>Hotel Yorba</t>
  </si>
  <si>
    <t>Hello Operator</t>
  </si>
  <si>
    <t>The Hardest Button to Button</t>
  </si>
  <si>
    <t>We're Going to Be Friends</t>
  </si>
  <si>
    <t>Hooting &amp; Howling</t>
  </si>
  <si>
    <t>The Devil's Crayon</t>
  </si>
  <si>
    <t>Limbo, Panto</t>
  </si>
  <si>
    <t>End Come Too Soon</t>
  </si>
  <si>
    <t>Wanderlust</t>
  </si>
  <si>
    <t>All the King's Men</t>
  </si>
  <si>
    <t>We Still Got the Taste Dancin' on Our Mouths</t>
  </si>
  <si>
    <t>Bed of Nails</t>
  </si>
  <si>
    <t>Two Dancers (i)</t>
  </si>
  <si>
    <t>This is Our Lot</t>
  </si>
  <si>
    <t>Nocturne</t>
  </si>
  <si>
    <t>Only Heather</t>
  </si>
  <si>
    <t>Summer Holiday</t>
  </si>
  <si>
    <t>Live in Dreams</t>
  </si>
  <si>
    <t>Golden Haze</t>
  </si>
  <si>
    <t>Evertide EP</t>
  </si>
  <si>
    <t>Disappear Always</t>
  </si>
  <si>
    <t>Ex-Lion Tamer</t>
  </si>
  <si>
    <t>Map Ref 41°N 93°W</t>
  </si>
  <si>
    <t>The 15th</t>
  </si>
  <si>
    <t>Outdoor Miner</t>
  </si>
  <si>
    <t>Mannequin</t>
  </si>
  <si>
    <t>Pink Flag</t>
  </si>
  <si>
    <t>12 X U</t>
  </si>
  <si>
    <t>Mercy</t>
  </si>
  <si>
    <t>Two People in a Room</t>
  </si>
  <si>
    <t>Reuters</t>
  </si>
  <si>
    <t>Don't Delete the Kisses</t>
  </si>
  <si>
    <t>Bros</t>
  </si>
  <si>
    <t>Silk</t>
  </si>
  <si>
    <t>Your Loves Whore</t>
  </si>
  <si>
    <t>Giant Peach</t>
  </si>
  <si>
    <t>Moaning Lisa Smile</t>
  </si>
  <si>
    <t>Blush</t>
  </si>
  <si>
    <t>Visions of a Life</t>
  </si>
  <si>
    <t>Lisbon</t>
  </si>
  <si>
    <t>Heavenward</t>
  </si>
  <si>
    <t>I'll Believe in Anything</t>
  </si>
  <si>
    <t>Kissing the Beehive</t>
  </si>
  <si>
    <t>Dear Sons and Daughters of Hungry Ghosts</t>
  </si>
  <si>
    <t>You Are a Runner and I Am My Father's Ghost</t>
  </si>
  <si>
    <t>This Heart's on Fire</t>
  </si>
  <si>
    <t>California Dreamer</t>
  </si>
  <si>
    <t>Modern World</t>
  </si>
  <si>
    <t>You're Dreaming</t>
  </si>
  <si>
    <t>Greek Tragedy</t>
  </si>
  <si>
    <t>Let's Dance to Joy Division</t>
  </si>
  <si>
    <t>Tokyo (Vampires and Wolves)</t>
  </si>
  <si>
    <t>Moving to New York</t>
  </si>
  <si>
    <t>Techno Fan</t>
  </si>
  <si>
    <t>Jump into the Fog</t>
  </si>
  <si>
    <t>Your Body is a Weapon</t>
  </si>
  <si>
    <t>Kill the Director</t>
  </si>
  <si>
    <t>Turn</t>
  </si>
  <si>
    <t>Give Me a Try</t>
  </si>
  <si>
    <t>The Wrens</t>
  </si>
  <si>
    <t>She Sends Kisses</t>
  </si>
  <si>
    <t>The Meadowlands</t>
  </si>
  <si>
    <t>Hopeless</t>
  </si>
  <si>
    <t>13 Months in 6 Minutes</t>
  </si>
  <si>
    <t>Everyone Choose Sides</t>
  </si>
  <si>
    <t>Boys, You Won't</t>
  </si>
  <si>
    <t>Surprise, Honeycomb</t>
  </si>
  <si>
    <t>Secaucus</t>
  </si>
  <si>
    <t>Ex-Girl Collection</t>
  </si>
  <si>
    <t>I've Made Enough Friends</t>
  </si>
  <si>
    <t>Thirteen Grand</t>
  </si>
  <si>
    <t>Civilian</t>
  </si>
  <si>
    <t>Glory</t>
  </si>
  <si>
    <t>Watching the Waiting</t>
  </si>
  <si>
    <t>Spiral</t>
  </si>
  <si>
    <t>Hot as Day</t>
  </si>
  <si>
    <t>Holy Holy</t>
  </si>
  <si>
    <t>No Dreaming</t>
  </si>
  <si>
    <t>Better (for Esther)</t>
  </si>
  <si>
    <t>Symmetry</t>
  </si>
  <si>
    <t>I Luv the Valley OH!</t>
  </si>
  <si>
    <t>Apistat Commander</t>
  </si>
  <si>
    <t>Sad Pony Guerrilla Girl</t>
  </si>
  <si>
    <t>Hives Hives</t>
  </si>
  <si>
    <t>Clowne Towne</t>
  </si>
  <si>
    <t>Crank Heart</t>
  </si>
  <si>
    <t>Fabulous Muscles</t>
  </si>
  <si>
    <t>Muppet Face</t>
  </si>
  <si>
    <t>Suha</t>
  </si>
  <si>
    <t>Senses Working Overtime</t>
  </si>
  <si>
    <t>Making Plans for Nigel</t>
  </si>
  <si>
    <t>Summer's Cauldron</t>
  </si>
  <si>
    <t>Grass</t>
  </si>
  <si>
    <t>Dear God</t>
  </si>
  <si>
    <t>Mayor of Simpleton</t>
  </si>
  <si>
    <t>Respectable Street</t>
  </si>
  <si>
    <t>The Ballad of Peter Pumpkinhead</t>
  </si>
  <si>
    <t>Earn Enough for Us</t>
  </si>
  <si>
    <t>Season Cycle</t>
  </si>
  <si>
    <t>Intro</t>
  </si>
  <si>
    <t>Islands</t>
  </si>
  <si>
    <t>Crystalised</t>
  </si>
  <si>
    <t>VCR</t>
  </si>
  <si>
    <t>On Hold</t>
  </si>
  <si>
    <t>Angels</t>
  </si>
  <si>
    <t>Heart Skipped a Beat</t>
  </si>
  <si>
    <t>I Dare You</t>
  </si>
  <si>
    <t>Say Something Loving</t>
  </si>
  <si>
    <t>Maps</t>
  </si>
  <si>
    <t>Y Control</t>
  </si>
  <si>
    <t>Heads Will Roll</t>
  </si>
  <si>
    <t>Gold Lion</t>
  </si>
  <si>
    <t>Date With the Night</t>
  </si>
  <si>
    <t>Zero</t>
  </si>
  <si>
    <t>Cheated Hearts</t>
  </si>
  <si>
    <t>Hysteric</t>
  </si>
  <si>
    <t>Despair</t>
  </si>
  <si>
    <t>Yves Tumor</t>
  </si>
  <si>
    <t>Noid</t>
  </si>
  <si>
    <t>Safe in the Hands of Love</t>
  </si>
  <si>
    <t>Gospel for a New Century</t>
  </si>
  <si>
    <t>Heaven to a Tortured Mind</t>
  </si>
  <si>
    <t>Kerosene!</t>
  </si>
  <si>
    <t>Lifetime</t>
  </si>
  <si>
    <t>Romanticist</t>
  </si>
  <si>
    <t>Licking an Orchid</t>
  </si>
  <si>
    <t>Limerence</t>
  </si>
  <si>
    <t>When Man Fails You</t>
  </si>
  <si>
    <t>Dream Palette</t>
  </si>
  <si>
    <t>Let the Lioness in You Flow Freely</t>
  </si>
  <si>
    <t>Medicine Burn</t>
  </si>
  <si>
    <t>See You When We're Both Not So Emotional</t>
  </si>
  <si>
    <t>The Mysterious Production of Eggs</t>
  </si>
  <si>
    <t>Danse Carribe</t>
  </si>
  <si>
    <t>AJJ</t>
  </si>
  <si>
    <t>El Principito</t>
  </si>
  <si>
    <t>Untitled 3</t>
  </si>
  <si>
    <t>Belle and Sebastian</t>
  </si>
  <si>
    <t>Cuckoo</t>
  </si>
  <si>
    <t>Dismemberment Plan</t>
  </si>
  <si>
    <t>The Microphones</t>
  </si>
  <si>
    <t>Mount Eerie</t>
  </si>
  <si>
    <t>Nicolás Jaar</t>
  </si>
  <si>
    <t>Against All Logic</t>
  </si>
  <si>
    <t>Nightime</t>
  </si>
  <si>
    <t>UFOF</t>
  </si>
  <si>
    <t>Smog</t>
  </si>
  <si>
    <t xml:space="preserve">ナイトクルージング </t>
  </si>
  <si>
    <t>なんてったの</t>
  </si>
  <si>
    <t>Drunk Drivers/Killer Whales</t>
  </si>
  <si>
    <t>I Want You to Know That I'm Awake/I Hope That You're Asleep</t>
  </si>
  <si>
    <t>Madvillain</t>
  </si>
  <si>
    <t>First Love/Late Spring</t>
  </si>
  <si>
    <t>Songs: Ohia</t>
  </si>
  <si>
    <t>Almost Had to Start a Fight/In and Out of Patience</t>
  </si>
  <si>
    <t>Uncle Albert/Admiral Halsey</t>
  </si>
  <si>
    <t>Shoot Speed/Kill Light</t>
  </si>
  <si>
    <t>Swan Lake/Death Disco</t>
  </si>
  <si>
    <t>Weird Fishes/Arpeggi</t>
  </si>
  <si>
    <t>A Man/Me/Then Jim</t>
  </si>
  <si>
    <t>Re-Make/Re-Model</t>
  </si>
  <si>
    <t>A Report to the Shareholders/Kill Your Masters</t>
  </si>
  <si>
    <t>Whole New World/Pretend World</t>
  </si>
  <si>
    <t>Chaos of the Galaxy/Happy Man</t>
  </si>
  <si>
    <t>Now Here In</t>
  </si>
  <si>
    <t>Lorelei</t>
  </si>
  <si>
    <t>Campaign for a Better Weekend</t>
  </si>
  <si>
    <t>Everyone That Loves You</t>
  </si>
  <si>
    <t>Limousine</t>
  </si>
  <si>
    <t>1/1</t>
  </si>
  <si>
    <t>Racing in the Street</t>
  </si>
  <si>
    <t>Zig Zag Wanderer</t>
  </si>
  <si>
    <t>Blasphemous Rumours</t>
  </si>
  <si>
    <t>Painter in your Pocket</t>
  </si>
  <si>
    <t>Oh So Protective One</t>
  </si>
  <si>
    <t>Bottle Rocket</t>
  </si>
  <si>
    <t>A.M. 180</t>
  </si>
  <si>
    <t>Lindisfarne I</t>
  </si>
  <si>
    <t>Lindisfarne II</t>
  </si>
  <si>
    <t>9/10</t>
  </si>
  <si>
    <t>Abandon Window</t>
  </si>
  <si>
    <t>Border Line</t>
  </si>
  <si>
    <t>6'1" - 2018 Remaster</t>
  </si>
  <si>
    <t>Dondante</t>
  </si>
  <si>
    <t>A Peculiar Noise Called "Train Director"</t>
  </si>
  <si>
    <t>Nineteen Hundred and Eighty Five</t>
  </si>
  <si>
    <t>Wings</t>
  </si>
  <si>
    <t>The Walker Brothers</t>
  </si>
  <si>
    <t>Ladies and Gentlemen We Are Floating in Space</t>
  </si>
  <si>
    <t>Laughing with a Mouth of Blood</t>
  </si>
  <si>
    <t>Heavy Water/I'd Rather Be Sleeping</t>
  </si>
  <si>
    <t>Come Softly - For Daniel D.</t>
  </si>
  <si>
    <t>Echo, Bravo</t>
  </si>
  <si>
    <t>Soria Moria</t>
  </si>
  <si>
    <t>Head On/Pill</t>
  </si>
  <si>
    <t>Toe Cutter/Thumb Buster</t>
  </si>
  <si>
    <t>ゆらめき In The Air</t>
  </si>
  <si>
    <t>The Magnolia Electric Co.</t>
  </si>
  <si>
    <t>Axxess &amp; Ace</t>
  </si>
  <si>
    <t>The Lioness</t>
  </si>
  <si>
    <t>バックビートにのっかって</t>
  </si>
  <si>
    <t>Don't Think Twice, It's All Right</t>
  </si>
  <si>
    <t>À tout à l'heure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</si>
</sst>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yy"/>
    <numFmt numFmtId="166" formatCode="m/d"/>
    <numFmt numFmtId="167" formatCode="mm/dd/yy"/>
  </numFmts>
  <fonts count="6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u/>
      <sz val="14"/>
      <color rgb="FF1155CC"/>
      <name val="Arial"/>
      <family val="2"/>
    </font>
    <font>
      <sz val="10"/>
      <color theme="1"/>
      <name val="Arial"/>
      <family val="2"/>
    </font>
    <font>
      <b/>
      <u/>
      <sz val="10"/>
      <color rgb="FF1155CC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u/>
      <sz val="14"/>
      <color rgb="FF0000FF"/>
      <name val="Arial"/>
      <family val="2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b/>
      <u/>
      <sz val="14"/>
      <color rgb="FF0000FF"/>
      <name val="Arial"/>
      <family val="2"/>
    </font>
    <font>
      <sz val="10"/>
      <color rgb="FF000000"/>
      <name val="Arial"/>
      <family val="2"/>
    </font>
    <font>
      <b/>
      <u/>
      <sz val="14"/>
      <color rgb="FF1155CC"/>
      <name val="Arial"/>
      <family val="2"/>
    </font>
    <font>
      <b/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10"/>
      <color rgb="FF000000"/>
      <name val="Arial"/>
      <family val="2"/>
    </font>
    <font>
      <b/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u/>
      <sz val="10"/>
      <color theme="1"/>
      <name val="Arial"/>
      <family val="2"/>
    </font>
    <font>
      <b/>
      <u/>
      <sz val="14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b/>
      <u/>
      <sz val="14"/>
      <color rgb="FF0000FF"/>
      <name val="Arial"/>
      <family val="2"/>
    </font>
    <font>
      <b/>
      <u/>
      <sz val="10"/>
      <color rgb="FF0000FF"/>
      <name val="Arial"/>
      <family val="2"/>
    </font>
    <font>
      <sz val="10"/>
      <color rgb="FF202122"/>
      <name val="Arial"/>
      <family val="2"/>
    </font>
    <font>
      <u/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b/>
      <u/>
      <sz val="14"/>
      <color rgb="FF0000FF"/>
      <name val="Arial"/>
      <family val="2"/>
    </font>
    <font>
      <b/>
      <u/>
      <sz val="10"/>
      <color rgb="FF1155CC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4"/>
      <color rgb="FF1155CC"/>
      <name val="Arial"/>
      <family val="2"/>
    </font>
    <font>
      <b/>
      <u/>
      <sz val="14"/>
      <color rgb="FF1155CC"/>
      <name val="-apple-system"/>
    </font>
    <font>
      <b/>
      <u/>
      <sz val="14"/>
      <color rgb="FF1155CC"/>
      <name val="Arial"/>
      <family val="2"/>
    </font>
    <font>
      <b/>
      <u/>
      <sz val="10"/>
      <color rgb="FF1155CC"/>
      <name val="Arial"/>
      <family val="2"/>
    </font>
    <font>
      <b/>
      <u/>
      <sz val="14"/>
      <color rgb="FF0000FF"/>
      <name val="Arial"/>
      <family val="2"/>
    </font>
    <font>
      <b/>
      <u/>
      <sz val="10"/>
      <color rgb="FF0000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4"/>
      <color theme="1"/>
      <name val="Arial"/>
      <family val="2"/>
    </font>
    <font>
      <sz val="10"/>
      <color rgb="FF1155CC"/>
      <name val="Arial"/>
      <family val="2"/>
    </font>
    <font>
      <sz val="10"/>
      <color rgb="FF000000"/>
      <name val="Arial"/>
      <family val="2"/>
      <scheme val="minor"/>
    </font>
    <font>
      <b/>
      <u/>
      <sz val="10"/>
      <color rgb="FF1155CC"/>
      <name val="Arial"/>
      <family val="2"/>
    </font>
    <font>
      <b/>
      <u/>
      <sz val="14"/>
      <color rgb="FF1155CC"/>
      <name val="Arial"/>
      <family val="2"/>
    </font>
    <font>
      <b/>
      <u/>
      <sz val="10"/>
      <color rgb="FF1155CC"/>
      <name val="Arial"/>
      <family val="2"/>
    </font>
    <font>
      <b/>
      <u/>
      <sz val="14"/>
      <color rgb="FF0000FF"/>
      <name val="Arial"/>
      <family val="2"/>
    </font>
    <font>
      <b/>
      <u/>
      <sz val="14"/>
      <color rgb="FF0000FF"/>
      <name val="Arial"/>
      <family val="2"/>
    </font>
    <font>
      <b/>
      <u/>
      <sz val="14"/>
      <color rgb="FF1155CC"/>
      <name val="Arial"/>
      <family val="2"/>
    </font>
    <font>
      <b/>
      <u/>
      <sz val="10"/>
      <color rgb="FF1155CC"/>
      <name val="Arial"/>
      <family val="2"/>
    </font>
    <font>
      <b/>
      <i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b/>
      <u/>
      <sz val="14"/>
      <color rgb="FF0000FF"/>
      <name val="Arial"/>
      <family val="2"/>
    </font>
    <font>
      <b/>
      <u/>
      <sz val="14"/>
      <color rgb="FF1155CC"/>
      <name val="Arial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7CBB4"/>
        <bgColor rgb="FFD7CBB4"/>
      </patternFill>
    </fill>
    <fill>
      <patternFill patternType="solid">
        <fgColor rgb="FFFFFFFF"/>
        <bgColor rgb="FFFFFFFF"/>
      </patternFill>
    </fill>
    <fill>
      <patternFill patternType="solid">
        <fgColor rgb="FFF3ECDC"/>
        <bgColor rgb="FFF3ECDC"/>
      </patternFill>
    </fill>
    <fill>
      <patternFill patternType="solid">
        <fgColor theme="0"/>
        <bgColor theme="0"/>
      </patternFill>
    </fill>
    <fill>
      <patternFill patternType="solid">
        <fgColor rgb="FFF3ECDC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1" fillId="0" borderId="0" applyNumberFormat="0" applyFill="0" applyBorder="0" applyAlignment="0" applyProtection="0"/>
  </cellStyleXfs>
  <cellXfs count="162">
    <xf numFmtId="0" fontId="0" fillId="0" borderId="0" xfId="0"/>
    <xf numFmtId="0" fontId="1" fillId="2" borderId="0" xfId="0" applyFont="1" applyFill="1"/>
    <xf numFmtId="0" fontId="2" fillId="3" borderId="1" xfId="0" applyFont="1" applyFill="1" applyBorder="1"/>
    <xf numFmtId="164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6" fillId="4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7" fillId="3" borderId="0" xfId="0" applyFont="1" applyFill="1"/>
    <xf numFmtId="0" fontId="8" fillId="0" borderId="1" xfId="0" applyFont="1" applyBorder="1"/>
    <xf numFmtId="164" fontId="1" fillId="0" borderId="1" xfId="0" applyNumberFormat="1" applyFont="1" applyBorder="1"/>
    <xf numFmtId="0" fontId="9" fillId="0" borderId="1" xfId="0" applyFont="1" applyBorder="1"/>
    <xf numFmtId="0" fontId="1" fillId="4" borderId="0" xfId="0" applyFont="1" applyFill="1"/>
    <xf numFmtId="0" fontId="1" fillId="0" borderId="0" xfId="0" applyFont="1"/>
    <xf numFmtId="0" fontId="11" fillId="3" borderId="1" xfId="0" applyFont="1" applyFill="1" applyBorder="1"/>
    <xf numFmtId="0" fontId="12" fillId="4" borderId="0" xfId="0" applyFont="1" applyFill="1"/>
    <xf numFmtId="0" fontId="12" fillId="3" borderId="0" xfId="0" applyFont="1" applyFill="1"/>
    <xf numFmtId="0" fontId="5" fillId="3" borderId="1" xfId="0" applyFont="1" applyFill="1" applyBorder="1" applyAlignment="1">
      <alignment horizontal="right"/>
    </xf>
    <xf numFmtId="0" fontId="13" fillId="0" borderId="1" xfId="0" applyFont="1" applyBorder="1"/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/>
    <xf numFmtId="0" fontId="14" fillId="0" borderId="1" xfId="0" applyFont="1" applyBorder="1"/>
    <xf numFmtId="0" fontId="5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15" fillId="0" borderId="0" xfId="0" applyFont="1"/>
    <xf numFmtId="164" fontId="3" fillId="0" borderId="1" xfId="0" applyNumberFormat="1" applyFont="1" applyBorder="1" applyAlignment="1">
      <alignment horizontal="right"/>
    </xf>
    <xf numFmtId="0" fontId="16" fillId="0" borderId="1" xfId="0" applyFont="1" applyBorder="1"/>
    <xf numFmtId="0" fontId="17" fillId="0" borderId="1" xfId="0" applyFont="1" applyBorder="1"/>
    <xf numFmtId="0" fontId="19" fillId="0" borderId="1" xfId="0" applyFont="1" applyBorder="1"/>
    <xf numFmtId="0" fontId="5" fillId="0" borderId="1" xfId="0" applyFont="1" applyBorder="1" applyAlignment="1">
      <alignment horizontal="right"/>
    </xf>
    <xf numFmtId="0" fontId="12" fillId="0" borderId="0" xfId="0" applyFont="1"/>
    <xf numFmtId="14" fontId="3" fillId="3" borderId="1" xfId="0" applyNumberFormat="1" applyFont="1" applyFill="1" applyBorder="1" applyAlignment="1">
      <alignment horizontal="right"/>
    </xf>
    <xf numFmtId="0" fontId="20" fillId="3" borderId="1" xfId="0" applyFont="1" applyFill="1" applyBorder="1"/>
    <xf numFmtId="0" fontId="21" fillId="0" borderId="0" xfId="0" applyFont="1"/>
    <xf numFmtId="0" fontId="22" fillId="0" borderId="1" xfId="0" applyFont="1" applyBorder="1"/>
    <xf numFmtId="0" fontId="3" fillId="4" borderId="0" xfId="0" applyFont="1" applyFill="1" applyAlignment="1">
      <alignment horizontal="left"/>
    </xf>
    <xf numFmtId="0" fontId="23" fillId="0" borderId="1" xfId="0" applyFont="1" applyBorder="1"/>
    <xf numFmtId="0" fontId="12" fillId="0" borderId="0" xfId="0" applyFont="1" applyAlignment="1">
      <alignment horizontal="left"/>
    </xf>
    <xf numFmtId="165" fontId="3" fillId="0" borderId="1" xfId="0" applyNumberFormat="1" applyFont="1" applyBorder="1" applyAlignment="1">
      <alignment horizontal="right"/>
    </xf>
    <xf numFmtId="0" fontId="24" fillId="3" borderId="1" xfId="0" applyFont="1" applyFill="1" applyBorder="1"/>
    <xf numFmtId="0" fontId="19" fillId="3" borderId="1" xfId="0" applyFont="1" applyFill="1" applyBorder="1"/>
    <xf numFmtId="0" fontId="25" fillId="0" borderId="0" xfId="0" applyFont="1"/>
    <xf numFmtId="165" fontId="1" fillId="0" borderId="1" xfId="0" applyNumberFormat="1" applyFont="1" applyBorder="1"/>
    <xf numFmtId="0" fontId="1" fillId="0" borderId="1" xfId="0" applyFont="1" applyBorder="1"/>
    <xf numFmtId="0" fontId="12" fillId="4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164" fontId="12" fillId="0" borderId="1" xfId="0" applyNumberFormat="1" applyFont="1" applyBorder="1" applyAlignment="1">
      <alignment horizontal="right"/>
    </xf>
    <xf numFmtId="165" fontId="12" fillId="0" borderId="1" xfId="0" applyNumberFormat="1" applyFont="1" applyBorder="1" applyAlignment="1">
      <alignment horizontal="right"/>
    </xf>
    <xf numFmtId="0" fontId="26" fillId="5" borderId="3" xfId="0" applyFont="1" applyFill="1" applyBorder="1"/>
    <xf numFmtId="165" fontId="1" fillId="5" borderId="3" xfId="0" applyNumberFormat="1" applyFont="1" applyFill="1" applyBorder="1"/>
    <xf numFmtId="0" fontId="1" fillId="5" borderId="3" xfId="0" applyFont="1" applyFill="1" applyBorder="1"/>
    <xf numFmtId="0" fontId="9" fillId="5" borderId="1" xfId="0" applyFont="1" applyFill="1" applyBorder="1"/>
    <xf numFmtId="0" fontId="1" fillId="5" borderId="0" xfId="0" applyFont="1" applyFill="1" applyAlignment="1">
      <alignment horizontal="left"/>
    </xf>
    <xf numFmtId="0" fontId="1" fillId="5" borderId="0" xfId="0" applyFont="1" applyFill="1"/>
    <xf numFmtId="0" fontId="27" fillId="0" borderId="1" xfId="0" applyFont="1" applyBorder="1"/>
    <xf numFmtId="0" fontId="28" fillId="3" borderId="0" xfId="0" applyFont="1" applyFill="1"/>
    <xf numFmtId="0" fontId="29" fillId="4" borderId="0" xfId="0" applyFont="1" applyFill="1"/>
    <xf numFmtId="0" fontId="30" fillId="0" borderId="0" xfId="0" applyFont="1"/>
    <xf numFmtId="0" fontId="31" fillId="4" borderId="0" xfId="0" applyFont="1" applyFill="1"/>
    <xf numFmtId="0" fontId="32" fillId="4" borderId="0" xfId="0" applyFont="1" applyFill="1"/>
    <xf numFmtId="0" fontId="3" fillId="5" borderId="0" xfId="0" applyFont="1" applyFill="1"/>
    <xf numFmtId="0" fontId="3" fillId="5" borderId="0" xfId="0" applyFont="1" applyFill="1" applyAlignment="1">
      <alignment horizontal="right"/>
    </xf>
    <xf numFmtId="0" fontId="12" fillId="5" borderId="0" xfId="0" applyFont="1" applyFill="1"/>
    <xf numFmtId="0" fontId="33" fillId="0" borderId="0" xfId="0" applyFont="1"/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34" fillId="3" borderId="0" xfId="0" applyFont="1" applyFill="1"/>
    <xf numFmtId="0" fontId="35" fillId="0" borderId="3" xfId="0" applyFont="1" applyBorder="1"/>
    <xf numFmtId="164" fontId="3" fillId="0" borderId="3" xfId="0" applyNumberFormat="1" applyFont="1" applyBorder="1" applyAlignment="1">
      <alignment horizontal="right"/>
    </xf>
    <xf numFmtId="0" fontId="3" fillId="0" borderId="3" xfId="0" applyFont="1" applyBorder="1"/>
    <xf numFmtId="0" fontId="36" fillId="0" borderId="3" xfId="0" applyFont="1" applyBorder="1"/>
    <xf numFmtId="0" fontId="37" fillId="0" borderId="4" xfId="0" applyFont="1" applyBorder="1"/>
    <xf numFmtId="0" fontId="37" fillId="0" borderId="4" xfId="0" applyFont="1" applyBorder="1" applyAlignment="1">
      <alignment horizontal="right"/>
    </xf>
    <xf numFmtId="0" fontId="38" fillId="0" borderId="4" xfId="0" applyFont="1" applyBorder="1"/>
    <xf numFmtId="0" fontId="39" fillId="4" borderId="0" xfId="0" applyFont="1" applyFill="1"/>
    <xf numFmtId="0" fontId="39" fillId="0" borderId="0" xfId="0" applyFont="1"/>
    <xf numFmtId="0" fontId="39" fillId="4" borderId="0" xfId="0" applyFont="1" applyFill="1" applyAlignment="1">
      <alignment horizontal="left"/>
    </xf>
    <xf numFmtId="0" fontId="41" fillId="3" borderId="1" xfId="0" applyFont="1" applyFill="1" applyBorder="1"/>
    <xf numFmtId="0" fontId="37" fillId="0" borderId="1" xfId="0" applyFont="1" applyBorder="1"/>
    <xf numFmtId="0" fontId="37" fillId="0" borderId="1" xfId="0" applyFont="1" applyBorder="1" applyAlignment="1">
      <alignment horizontal="left"/>
    </xf>
    <xf numFmtId="0" fontId="39" fillId="4" borderId="0" xfId="0" applyFont="1" applyFill="1" applyAlignment="1">
      <alignment horizontal="right"/>
    </xf>
    <xf numFmtId="0" fontId="39" fillId="0" borderId="0" xfId="0" applyFont="1" applyAlignment="1">
      <alignment horizontal="right"/>
    </xf>
    <xf numFmtId="164" fontId="1" fillId="5" borderId="3" xfId="0" applyNumberFormat="1" applyFont="1" applyFill="1" applyBorder="1"/>
    <xf numFmtId="0" fontId="42" fillId="0" borderId="5" xfId="0" applyFont="1" applyBorder="1"/>
    <xf numFmtId="164" fontId="3" fillId="0" borderId="5" xfId="0" applyNumberFormat="1" applyFont="1" applyBorder="1" applyAlignment="1">
      <alignment horizontal="right"/>
    </xf>
    <xf numFmtId="0" fontId="3" fillId="0" borderId="5" xfId="0" applyFont="1" applyBorder="1"/>
    <xf numFmtId="0" fontId="43" fillId="0" borderId="5" xfId="0" applyFont="1" applyBorder="1"/>
    <xf numFmtId="0" fontId="44" fillId="0" borderId="3" xfId="0" applyFont="1" applyBorder="1"/>
    <xf numFmtId="0" fontId="45" fillId="0" borderId="3" xfId="0" applyFont="1" applyBorder="1"/>
    <xf numFmtId="0" fontId="46" fillId="0" borderId="1" xfId="0" applyFont="1" applyBorder="1"/>
    <xf numFmtId="0" fontId="5" fillId="0" borderId="6" xfId="0" applyFont="1" applyBorder="1" applyAlignment="1">
      <alignment horizontal="left"/>
    </xf>
    <xf numFmtId="0" fontId="5" fillId="0" borderId="6" xfId="0" applyFont="1" applyBorder="1"/>
    <xf numFmtId="0" fontId="47" fillId="4" borderId="0" xfId="0" applyFont="1" applyFill="1"/>
    <xf numFmtId="0" fontId="48" fillId="4" borderId="0" xfId="0" applyFont="1" applyFill="1"/>
    <xf numFmtId="0" fontId="47" fillId="0" borderId="0" xfId="0" applyFont="1"/>
    <xf numFmtId="0" fontId="49" fillId="0" borderId="0" xfId="0" applyFont="1"/>
    <xf numFmtId="0" fontId="51" fillId="0" borderId="1" xfId="0" applyFont="1" applyBorder="1"/>
    <xf numFmtId="0" fontId="12" fillId="0" borderId="1" xfId="0" applyFont="1" applyBorder="1"/>
    <xf numFmtId="0" fontId="3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5" fontId="3" fillId="3" borderId="1" xfId="0" applyNumberFormat="1" applyFont="1" applyFill="1" applyBorder="1" applyAlignment="1">
      <alignment horizontal="right"/>
    </xf>
    <xf numFmtId="166" fontId="3" fillId="0" borderId="1" xfId="0" applyNumberFormat="1" applyFont="1" applyBorder="1" applyAlignment="1">
      <alignment horizontal="right"/>
    </xf>
    <xf numFmtId="0" fontId="52" fillId="4" borderId="0" xfId="0" applyFont="1" applyFill="1"/>
    <xf numFmtId="167" fontId="3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53" fillId="3" borderId="1" xfId="0" applyFont="1" applyFill="1" applyBorder="1" applyAlignment="1">
      <alignment horizontal="right"/>
    </xf>
    <xf numFmtId="0" fontId="12" fillId="4" borderId="0" xfId="0" applyFont="1" applyFill="1" applyAlignment="1">
      <alignment horizontal="left"/>
    </xf>
    <xf numFmtId="0" fontId="54" fillId="0" borderId="0" xfId="0" applyFont="1"/>
    <xf numFmtId="164" fontId="3" fillId="0" borderId="0" xfId="0" applyNumberFormat="1" applyFont="1" applyAlignment="1">
      <alignment horizontal="right"/>
    </xf>
    <xf numFmtId="0" fontId="5" fillId="0" borderId="5" xfId="0" applyFont="1" applyBorder="1"/>
    <xf numFmtId="14" fontId="3" fillId="0" borderId="0" xfId="0" applyNumberFormat="1" applyFont="1" applyAlignment="1">
      <alignment horizontal="right"/>
    </xf>
    <xf numFmtId="0" fontId="55" fillId="0" borderId="0" xfId="0" applyFont="1"/>
    <xf numFmtId="0" fontId="5" fillId="0" borderId="0" xfId="0" applyFont="1"/>
    <xf numFmtId="165" fontId="3" fillId="0" borderId="0" xfId="0" applyNumberFormat="1" applyFont="1" applyAlignment="1">
      <alignment horizontal="right"/>
    </xf>
    <xf numFmtId="0" fontId="56" fillId="0" borderId="0" xfId="0" applyFont="1"/>
    <xf numFmtId="165" fontId="1" fillId="0" borderId="0" xfId="0" applyNumberFormat="1" applyFont="1"/>
    <xf numFmtId="0" fontId="9" fillId="0" borderId="5" xfId="0" applyFont="1" applyBorder="1"/>
    <xf numFmtId="0" fontId="57" fillId="0" borderId="1" xfId="0" applyFont="1" applyBorder="1"/>
    <xf numFmtId="0" fontId="58" fillId="3" borderId="0" xfId="0" applyFont="1" applyFill="1"/>
    <xf numFmtId="14" fontId="3" fillId="3" borderId="0" xfId="0" applyNumberFormat="1" applyFont="1" applyFill="1" applyAlignment="1">
      <alignment horizontal="right"/>
    </xf>
    <xf numFmtId="0" fontId="59" fillId="3" borderId="0" xfId="0" applyFont="1" applyFill="1"/>
    <xf numFmtId="0" fontId="5" fillId="3" borderId="5" xfId="0" applyFont="1" applyFill="1" applyBorder="1"/>
    <xf numFmtId="0" fontId="60" fillId="0" borderId="0" xfId="0" applyFont="1"/>
    <xf numFmtId="0" fontId="2" fillId="0" borderId="1" xfId="0" applyFont="1" applyBorder="1"/>
    <xf numFmtId="0" fontId="1" fillId="2" borderId="2" xfId="0" applyFont="1" applyFill="1" applyBorder="1"/>
    <xf numFmtId="0" fontId="10" fillId="0" borderId="2" xfId="0" applyFont="1" applyBorder="1"/>
    <xf numFmtId="0" fontId="10" fillId="0" borderId="3" xfId="0" applyFont="1" applyBorder="1"/>
    <xf numFmtId="0" fontId="62" fillId="0" borderId="0" xfId="0" applyFont="1"/>
    <xf numFmtId="0" fontId="62" fillId="4" borderId="0" xfId="0" applyFont="1" applyFill="1"/>
    <xf numFmtId="0" fontId="63" fillId="0" borderId="0" xfId="0" applyFont="1"/>
    <xf numFmtId="49" fontId="62" fillId="4" borderId="0" xfId="0" applyNumberFormat="1" applyFont="1" applyFill="1" applyAlignment="1">
      <alignment horizontal="left"/>
    </xf>
    <xf numFmtId="0" fontId="64" fillId="0" borderId="0" xfId="0" applyFont="1"/>
    <xf numFmtId="0" fontId="64" fillId="4" borderId="0" xfId="0" applyFont="1" applyFill="1"/>
    <xf numFmtId="49" fontId="62" fillId="0" borderId="0" xfId="0" applyNumberFormat="1" applyFont="1" applyAlignment="1">
      <alignment horizontal="left"/>
    </xf>
    <xf numFmtId="0" fontId="62" fillId="3" borderId="0" xfId="0" applyFont="1" applyFill="1"/>
    <xf numFmtId="0" fontId="61" fillId="0" borderId="0" xfId="1"/>
    <xf numFmtId="0" fontId="65" fillId="0" borderId="1" xfId="0" applyFont="1" applyBorder="1"/>
    <xf numFmtId="0" fontId="66" fillId="3" borderId="1" xfId="0" applyFont="1" applyFill="1" applyBorder="1"/>
    <xf numFmtId="0" fontId="67" fillId="6" borderId="7" xfId="0" applyFont="1" applyFill="1" applyBorder="1" applyAlignment="1">
      <alignment wrapText="1"/>
    </xf>
    <xf numFmtId="0" fontId="67" fillId="6" borderId="7" xfId="0" applyFont="1" applyFill="1" applyBorder="1" applyAlignment="1">
      <alignment horizontal="right" wrapText="1"/>
    </xf>
    <xf numFmtId="0" fontId="61" fillId="6" borderId="7" xfId="1" applyFill="1" applyBorder="1" applyAlignment="1">
      <alignment wrapText="1"/>
    </xf>
    <xf numFmtId="0" fontId="67" fillId="0" borderId="8" xfId="0" applyFont="1" applyBorder="1" applyAlignment="1">
      <alignment wrapText="1"/>
    </xf>
    <xf numFmtId="0" fontId="67" fillId="0" borderId="8" xfId="0" applyFont="1" applyBorder="1" applyAlignment="1">
      <alignment horizontal="right" wrapText="1"/>
    </xf>
    <xf numFmtId="0" fontId="61" fillId="0" borderId="8" xfId="1" applyBorder="1" applyAlignment="1">
      <alignment wrapText="1"/>
    </xf>
    <xf numFmtId="0" fontId="67" fillId="6" borderId="8" xfId="0" applyFont="1" applyFill="1" applyBorder="1" applyAlignment="1">
      <alignment wrapText="1"/>
    </xf>
    <xf numFmtId="0" fontId="67" fillId="6" borderId="8" xfId="0" applyFont="1" applyFill="1" applyBorder="1" applyAlignment="1">
      <alignment horizontal="right" wrapText="1"/>
    </xf>
    <xf numFmtId="0" fontId="61" fillId="6" borderId="8" xfId="1" applyFill="1" applyBorder="1" applyAlignment="1">
      <alignment wrapText="1"/>
    </xf>
    <xf numFmtId="0" fontId="1" fillId="2" borderId="2" xfId="0" applyFont="1" applyFill="1" applyBorder="1"/>
    <xf numFmtId="0" fontId="10" fillId="0" borderId="2" xfId="0" applyFont="1" applyBorder="1"/>
    <xf numFmtId="0" fontId="10" fillId="0" borderId="3" xfId="0" applyFont="1" applyBorder="1"/>
    <xf numFmtId="0" fontId="1" fillId="2" borderId="0" xfId="0" applyFont="1" applyFill="1"/>
    <xf numFmtId="0" fontId="0" fillId="0" borderId="0" xfId="0"/>
    <xf numFmtId="0" fontId="18" fillId="2" borderId="0" xfId="0" applyFont="1" applyFill="1"/>
    <xf numFmtId="0" fontId="1" fillId="2" borderId="3" xfId="0" applyFont="1" applyFill="1" applyBorder="1"/>
    <xf numFmtId="0" fontId="40" fillId="2" borderId="2" xfId="0" applyFont="1" applyFill="1" applyBorder="1"/>
    <xf numFmtId="0" fontId="50" fillId="2" borderId="2" xfId="0" applyFont="1" applyFill="1" applyBorder="1"/>
    <xf numFmtId="0" fontId="10" fillId="0" borderId="4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Vignetting_the_Compost" TargetMode="External"/><Relationship Id="rId21" Type="http://schemas.openxmlformats.org/officeDocument/2006/relationships/hyperlink" Target="https://en.wikipedia.org/wiki/American_Football_(1999_album)" TargetMode="External"/><Relationship Id="rId42" Type="http://schemas.openxmlformats.org/officeDocument/2006/relationships/hyperlink" Target="https://en.wikipedia.org/wiki/Worlds_Apart_(...And_You_Will_Know_Us_by_the_Trail_of_Dead_album)" TargetMode="External"/><Relationship Id="rId63" Type="http://schemas.openxmlformats.org/officeDocument/2006/relationships/hyperlink" Target="https://en.wikipedia.org/wiki/Icky_Mettle" TargetMode="External"/><Relationship Id="rId84" Type="http://schemas.openxmlformats.org/officeDocument/2006/relationships/hyperlink" Target="https://en.wikipedia.org/wiki/The_Bride_(album)" TargetMode="External"/><Relationship Id="rId138" Type="http://schemas.openxmlformats.org/officeDocument/2006/relationships/hyperlink" Target="https://en.wikipedia.org/wiki/Negro_Swan" TargetMode="External"/><Relationship Id="rId159" Type="http://schemas.openxmlformats.org/officeDocument/2006/relationships/hyperlink" Target="https://open.spotify.com/playlist/4mQjRTXhUwfXzHf7FTCsnX?si=58da852ba9064e82" TargetMode="External"/><Relationship Id="rId170" Type="http://schemas.openxmlformats.org/officeDocument/2006/relationships/hyperlink" Target="https://en.wikipedia.org/wiki/Tender_Buttons_(album)" TargetMode="External"/><Relationship Id="rId191" Type="http://schemas.openxmlformats.org/officeDocument/2006/relationships/hyperlink" Target="https://en.wikipedia.org/wiki/Rival_Dealer" TargetMode="External"/><Relationship Id="rId107" Type="http://schemas.openxmlformats.org/officeDocument/2006/relationships/hyperlink" Target="https://en.wikipedia.org/wiki/California_Nights_(Best_Coast_album)" TargetMode="External"/><Relationship Id="rId11" Type="http://schemas.openxmlformats.org/officeDocument/2006/relationships/hyperlink" Target="https://en.wikipedia.org/wiki/Notes_on_a_Conditional_Form" TargetMode="External"/><Relationship Id="rId32" Type="http://schemas.openxmlformats.org/officeDocument/2006/relationships/hyperlink" Target="https://open.spotify.com/playlist/3oKkS9Taq9H2jcJ531p2Vk?si=2457dbace017419d" TargetMode="External"/><Relationship Id="rId53" Type="http://schemas.openxmlformats.org/officeDocument/2006/relationships/hyperlink" Target="https://en.wikipedia.org/wiki/Her_Wallpaper_Reverie" TargetMode="External"/><Relationship Id="rId74" Type="http://schemas.openxmlformats.org/officeDocument/2006/relationships/hyperlink" Target="https://open.spotify.com/playlist/4g1ERpgK1gSzoLZ8TzJaE3?si=6c9dae2f25854f1b" TargetMode="External"/><Relationship Id="rId128" Type="http://schemas.openxmlformats.org/officeDocument/2006/relationships/hyperlink" Target="https://www.reddit.com/r/indieheads/comments/shtzrj/top_ten_tuesday_blood_orange/" TargetMode="External"/><Relationship Id="rId149" Type="http://schemas.openxmlformats.org/officeDocument/2006/relationships/hyperlink" Target="https://open.spotify.com/playlist/3Cn5F1nJI9n26eThrOIsvx?si=ef7264dd5649490e" TargetMode="External"/><Relationship Id="rId5" Type="http://schemas.openxmlformats.org/officeDocument/2006/relationships/hyperlink" Target="https://en.wikipedia.org/wiki/A_Brief_Inquiry_into_Online_Relationships" TargetMode="External"/><Relationship Id="rId95" Type="http://schemas.openxmlformats.org/officeDocument/2006/relationships/hyperlink" Target="https://open.spotify.com/playlist/4U3DCG77ZuZDpQRzEMveRC?si=847aca546dd8479e" TargetMode="External"/><Relationship Id="rId160" Type="http://schemas.openxmlformats.org/officeDocument/2006/relationships/hyperlink" Target="https://www.reddit.com/r/indieheads/comments/gi9346/top_ten_tuesday_broadcast/" TargetMode="External"/><Relationship Id="rId181" Type="http://schemas.openxmlformats.org/officeDocument/2006/relationships/hyperlink" Target="https://en.wikipedia.org/wiki/Saturation_III" TargetMode="External"/><Relationship Id="rId22" Type="http://schemas.openxmlformats.org/officeDocument/2006/relationships/hyperlink" Target="https://en.wikipedia.org/wiki/American_Football_(1999_album)" TargetMode="External"/><Relationship Id="rId43" Type="http://schemas.openxmlformats.org/officeDocument/2006/relationships/hyperlink" Target="https://open.spotify.com/playlist/2lQxByYi5UKr5X77YUxCyD?si=opZvXiELSYueh3XLyO_NgA" TargetMode="External"/><Relationship Id="rId64" Type="http://schemas.openxmlformats.org/officeDocument/2006/relationships/hyperlink" Target="https://en.wikipedia.org/wiki/Vee_Vee" TargetMode="External"/><Relationship Id="rId118" Type="http://schemas.openxmlformats.org/officeDocument/2006/relationships/hyperlink" Target="https://en.wikipedia.org/wiki/Ambivalence_Avenue" TargetMode="External"/><Relationship Id="rId139" Type="http://schemas.openxmlformats.org/officeDocument/2006/relationships/hyperlink" Target="https://en.wikipedia.org/wiki/Angel%27s_Pulse" TargetMode="External"/><Relationship Id="rId85" Type="http://schemas.openxmlformats.org/officeDocument/2006/relationships/hyperlink" Target="https://en.wikipedia.org/wiki/Two_Suns" TargetMode="External"/><Relationship Id="rId150" Type="http://schemas.openxmlformats.org/officeDocument/2006/relationships/hyperlink" Target="https://en.wikipedia.org/wiki/Their_Satanic_Majesties%27_Second_Request" TargetMode="External"/><Relationship Id="rId171" Type="http://schemas.openxmlformats.org/officeDocument/2006/relationships/hyperlink" Target="https://en.wikipedia.org/wiki/The_Noise_Made_by_People" TargetMode="External"/><Relationship Id="rId192" Type="http://schemas.openxmlformats.org/officeDocument/2006/relationships/hyperlink" Target="https://en.wikipedia.org/wiki/Kindred_(EP)" TargetMode="External"/><Relationship Id="rId12" Type="http://schemas.openxmlformats.org/officeDocument/2006/relationships/hyperlink" Target="https://en.wikipedia.org/wiki/A_Brief_Inquiry_into_Online_Relationships" TargetMode="External"/><Relationship Id="rId33" Type="http://schemas.openxmlformats.org/officeDocument/2006/relationships/hyperlink" Target="https://en.wikipedia.org/wiki/Source_Tags_%26_Codes" TargetMode="External"/><Relationship Id="rId108" Type="http://schemas.openxmlformats.org/officeDocument/2006/relationships/hyperlink" Target="https://www.reddit.com/r/indieheads/comments/z7tipe/top_ten_thursday_the_beths/?utm_source=share&amp;utm_medium=ios_app&amp;utm_name=iossmf" TargetMode="External"/><Relationship Id="rId129" Type="http://schemas.openxmlformats.org/officeDocument/2006/relationships/hyperlink" Target="https://open.spotify.com/playlist/2idMTF5o26KOv9IQy2n1RJ?si=906de2453543419b" TargetMode="External"/><Relationship Id="rId54" Type="http://schemas.openxmlformats.org/officeDocument/2006/relationships/hyperlink" Target="https://en.wikipedia.org/wiki/Fun_Trick_Noisemaker" TargetMode="External"/><Relationship Id="rId75" Type="http://schemas.openxmlformats.org/officeDocument/2006/relationships/hyperlink" Target="https://open.spotify.com/playlist/5ysEQSUvmAQxsd75ZyXvsW?si=7f75bb8c3e9c4d47" TargetMode="External"/><Relationship Id="rId96" Type="http://schemas.openxmlformats.org/officeDocument/2006/relationships/hyperlink" Target="https://open.spotify.com/playlist/40OvT3jRP9TztB24pw1kYY?si=bf9cceb11d634063" TargetMode="External"/><Relationship Id="rId140" Type="http://schemas.openxmlformats.org/officeDocument/2006/relationships/hyperlink" Target="https://open.spotify.com/playlist/2f6jJFhdL9udOZmdXKfpno?si=14e88cff7cf94bdf" TargetMode="External"/><Relationship Id="rId161" Type="http://schemas.openxmlformats.org/officeDocument/2006/relationships/hyperlink" Target="https://open.spotify.com/playlist/1kOne03A3705lpj8OmobgW?si=NBzoozgzQQ2w2xJYOV_Rfw" TargetMode="External"/><Relationship Id="rId182" Type="http://schemas.openxmlformats.org/officeDocument/2006/relationships/hyperlink" Target="https://en.wikipedia.org/wiki/Saturation_III" TargetMode="External"/><Relationship Id="rId6" Type="http://schemas.openxmlformats.org/officeDocument/2006/relationships/hyperlink" Target="https://en.wikipedia.org/wiki/I_Like_It_When_You_Sleep,_for_You_Are_So_Beautiful_yet_So_Unaware_of_It" TargetMode="External"/><Relationship Id="rId23" Type="http://schemas.openxmlformats.org/officeDocument/2006/relationships/hyperlink" Target="https://en.wikipedia.org/wiki/American_Football_(1999_album)" TargetMode="External"/><Relationship Id="rId119" Type="http://schemas.openxmlformats.org/officeDocument/2006/relationships/hyperlink" Target="https://en.wikipedia.org/wiki/Mind_Bokeh" TargetMode="External"/><Relationship Id="rId44" Type="http://schemas.openxmlformats.org/officeDocument/2006/relationships/hyperlink" Target="https://www.reddit.com/r/indieheads/comments/y2x1ec/redo_thursday_animal_collective/?utm_source=share&amp;utm_medium=ios_app&amp;utm_name=iossmf" TargetMode="External"/><Relationship Id="rId65" Type="http://schemas.openxmlformats.org/officeDocument/2006/relationships/hyperlink" Target="https://en.wikipedia.org/wiki/Icky_Mettle" TargetMode="External"/><Relationship Id="rId86" Type="http://schemas.openxmlformats.org/officeDocument/2006/relationships/hyperlink" Target="https://en.wikipedia.org/wiki/Two_Suns" TargetMode="External"/><Relationship Id="rId130" Type="http://schemas.openxmlformats.org/officeDocument/2006/relationships/hyperlink" Target="https://en.wikipedia.org/wiki/Cupid_Deluxe" TargetMode="External"/><Relationship Id="rId151" Type="http://schemas.openxmlformats.org/officeDocument/2006/relationships/hyperlink" Target="https://en.wikipedia.org/wiki/Mini_Album_Thingy_Wingy" TargetMode="External"/><Relationship Id="rId172" Type="http://schemas.openxmlformats.org/officeDocument/2006/relationships/hyperlink" Target="https://www.reddit.com/r/indieheads/comments/panr2b/top_ten_tuesday_brockhampton/" TargetMode="External"/><Relationship Id="rId193" Type="http://schemas.openxmlformats.org/officeDocument/2006/relationships/hyperlink" Target="https://en.wikipedia.org/wiki/Kindred_(EP)" TargetMode="External"/><Relationship Id="rId13" Type="http://schemas.openxmlformats.org/officeDocument/2006/relationships/hyperlink" Target="https://www.reddit.com/r/indieheads/comments/yj7vno/top_ten_thursday_adrianne_lenker/?utm_source=share&amp;utm_medium=ios_app&amp;utm_name=iossmf" TargetMode="External"/><Relationship Id="rId109" Type="http://schemas.openxmlformats.org/officeDocument/2006/relationships/hyperlink" Target="https://www.reddit.com/r/indieheads/comments/pt6xd1/top_ten_tuesday_bibio/" TargetMode="External"/><Relationship Id="rId34" Type="http://schemas.openxmlformats.org/officeDocument/2006/relationships/hyperlink" Target="https://en.wikipedia.org/wiki/Source_Tags_%26_Codes" TargetMode="External"/><Relationship Id="rId55" Type="http://schemas.openxmlformats.org/officeDocument/2006/relationships/hyperlink" Target="https://en.wikipedia.org/wiki/Tone_Soul_Evolution" TargetMode="External"/><Relationship Id="rId76" Type="http://schemas.openxmlformats.org/officeDocument/2006/relationships/hyperlink" Target="https://www.reddit.com/r/indieheads/comments/r0cjxs/top_ten_tuesday_bat_for_lashes/" TargetMode="External"/><Relationship Id="rId97" Type="http://schemas.openxmlformats.org/officeDocument/2006/relationships/hyperlink" Target="https://www.reddit.com/r/indieheads/comments/qbb2zn/top_ten_tuesday_best_coast/" TargetMode="External"/><Relationship Id="rId120" Type="http://schemas.openxmlformats.org/officeDocument/2006/relationships/hyperlink" Target="https://en.wikipedia.org/wiki/Mind_Bokeh" TargetMode="External"/><Relationship Id="rId141" Type="http://schemas.openxmlformats.org/officeDocument/2006/relationships/hyperlink" Target="https://open.spotify.com/playlist/0y4XQR7xcUQDA3EmcEyzvA?si=a48410a2a8be4394" TargetMode="External"/><Relationship Id="rId7" Type="http://schemas.openxmlformats.org/officeDocument/2006/relationships/hyperlink" Target="https://en.wikipedia.org/wiki/The_1975_(album)" TargetMode="External"/><Relationship Id="rId162" Type="http://schemas.openxmlformats.org/officeDocument/2006/relationships/hyperlink" Target="https://en.wikipedia.org/wiki/The_Noise_Made_by_People" TargetMode="External"/><Relationship Id="rId183" Type="http://schemas.openxmlformats.org/officeDocument/2006/relationships/hyperlink" Target="https://en.wikipedia.org/wiki/Saturation_(Brockhampton_album)" TargetMode="External"/><Relationship Id="rId2" Type="http://schemas.openxmlformats.org/officeDocument/2006/relationships/hyperlink" Target="https://open.spotify.com/playlist/1lZs5TjbwItUXK3EPitas1?si=Ln-LWivAREa_5GQWVZ5vJg" TargetMode="External"/><Relationship Id="rId29" Type="http://schemas.openxmlformats.org/officeDocument/2006/relationships/hyperlink" Target="https://open.spotify.com/playlist/5gxJ8FRPTekpg16f1xVPaj?si=3AB5tutrQoq--lNFoVZAwg" TargetMode="External"/><Relationship Id="rId24" Type="http://schemas.openxmlformats.org/officeDocument/2006/relationships/hyperlink" Target="https://en.wikipedia.org/wiki/American_Football_(2019_album)" TargetMode="External"/><Relationship Id="rId40" Type="http://schemas.openxmlformats.org/officeDocument/2006/relationships/hyperlink" Target="https://en.wikipedia.org/wiki/Source_Tags_%26_Codes" TargetMode="External"/><Relationship Id="rId45" Type="http://schemas.openxmlformats.org/officeDocument/2006/relationships/hyperlink" Target="https://open.spotify.com/playlist/4zkGKkPIrQetKqAorqmKML?si=e7253dc7532044de" TargetMode="External"/><Relationship Id="rId66" Type="http://schemas.openxmlformats.org/officeDocument/2006/relationships/hyperlink" Target="https://en.wikipedia.org/wiki/Vee_Vee" TargetMode="External"/><Relationship Id="rId87" Type="http://schemas.openxmlformats.org/officeDocument/2006/relationships/hyperlink" Target="https://en.wikipedia.org/wiki/Lost_Girls_(album)" TargetMode="External"/><Relationship Id="rId110" Type="http://schemas.openxmlformats.org/officeDocument/2006/relationships/hyperlink" Target="https://open.spotify.com/playlist/5tfX0Oaue7RkQ3nLJTVoe3?si=9fc16404131c4970" TargetMode="External"/><Relationship Id="rId115" Type="http://schemas.openxmlformats.org/officeDocument/2006/relationships/hyperlink" Target="https://en.wikipedia.org/wiki/Ambivalence_Avenue" TargetMode="External"/><Relationship Id="rId131" Type="http://schemas.openxmlformats.org/officeDocument/2006/relationships/hyperlink" Target="https://en.wikipedia.org/wiki/Freetown_Sound" TargetMode="External"/><Relationship Id="rId136" Type="http://schemas.openxmlformats.org/officeDocument/2006/relationships/hyperlink" Target="https://en.wikipedia.org/wiki/Cupid_Deluxe" TargetMode="External"/><Relationship Id="rId157" Type="http://schemas.openxmlformats.org/officeDocument/2006/relationships/hyperlink" Target="https://en.wikipedia.org/wiki/Take_It_from_the_Man!" TargetMode="External"/><Relationship Id="rId178" Type="http://schemas.openxmlformats.org/officeDocument/2006/relationships/hyperlink" Target="https://en.wikipedia.org/wiki/Saturation_(Brockhampton_album)" TargetMode="External"/><Relationship Id="rId61" Type="http://schemas.openxmlformats.org/officeDocument/2006/relationships/hyperlink" Target="https://open.spotify.com/playlist/3ytiHHLvUffhe2CzcO8PZ4?si=QIRaD7HYRg63DI7KOU7KGg" TargetMode="External"/><Relationship Id="rId82" Type="http://schemas.openxmlformats.org/officeDocument/2006/relationships/hyperlink" Target="https://en.wikipedia.org/wiki/Fur_and_Gold" TargetMode="External"/><Relationship Id="rId152" Type="http://schemas.openxmlformats.org/officeDocument/2006/relationships/hyperlink" Target="https://en.wikipedia.org/wiki/Take_It_from_the_Man!" TargetMode="External"/><Relationship Id="rId173" Type="http://schemas.openxmlformats.org/officeDocument/2006/relationships/hyperlink" Target="https://open.spotify.com/playlist/53qtWOQvv07KaQ5a8IVlh0?si=c42c25c742264c7a" TargetMode="External"/><Relationship Id="rId194" Type="http://schemas.openxmlformats.org/officeDocument/2006/relationships/hyperlink" Target="https://en.wikipedia.org/wiki/Rival_Dealer" TargetMode="External"/><Relationship Id="rId199" Type="http://schemas.openxmlformats.org/officeDocument/2006/relationships/hyperlink" Target="https://www.reddit.com/r/indieheads/comments/10a0yvd/redo_thursday_bj%C3%B6rk/?utm_source=share&amp;utm_medium=ios_app&amp;utm_name=iossmf" TargetMode="External"/><Relationship Id="rId19" Type="http://schemas.openxmlformats.org/officeDocument/2006/relationships/hyperlink" Target="https://en.wikipedia.org/wiki/American_Football_(1999_album)" TargetMode="External"/><Relationship Id="rId14" Type="http://schemas.openxmlformats.org/officeDocument/2006/relationships/hyperlink" Target="https://www.reddit.com/r/indieheads/comments/11mu0uz/redo_thursday_alex_g/?utm_source=share&amp;utm_medium=ios_app&amp;utm_name=iossmf" TargetMode="External"/><Relationship Id="rId30" Type="http://schemas.openxmlformats.org/officeDocument/2006/relationships/hyperlink" Target="https://open.spotify.com/playlist/61p8XZbjcATlse7QC8TFux?si=21b6373e82e549b4" TargetMode="External"/><Relationship Id="rId35" Type="http://schemas.openxmlformats.org/officeDocument/2006/relationships/hyperlink" Target="https://en.wikipedia.org/wiki/Source_Tags_%26_Codes" TargetMode="External"/><Relationship Id="rId56" Type="http://schemas.openxmlformats.org/officeDocument/2006/relationships/hyperlink" Target="https://en.wikipedia.org/wiki/Her_Wallpaper_Reverie" TargetMode="External"/><Relationship Id="rId77" Type="http://schemas.openxmlformats.org/officeDocument/2006/relationships/hyperlink" Target="https://open.spotify.com/playlist/0ysLZNwusm0balOHfX3oEX?si=8ccec53c81de4e27" TargetMode="External"/><Relationship Id="rId100" Type="http://schemas.openxmlformats.org/officeDocument/2006/relationships/hyperlink" Target="https://en.wikipedia.org/wiki/Crazy_for_You_(Best_Coast_album)" TargetMode="External"/><Relationship Id="rId105" Type="http://schemas.openxmlformats.org/officeDocument/2006/relationships/hyperlink" Target="https://en.wikipedia.org/wiki/Crazy_for_You_(Best_Coast_album)" TargetMode="External"/><Relationship Id="rId126" Type="http://schemas.openxmlformats.org/officeDocument/2006/relationships/hyperlink" Target="https://www.reddit.com/r/indieheads/comments/10pywzu/top_ten_tuesday_bleachers/" TargetMode="External"/><Relationship Id="rId147" Type="http://schemas.openxmlformats.org/officeDocument/2006/relationships/hyperlink" Target="https://open.spotify.com/playlist/0P1i0GErkICfiiKi3IJ8g7?si=1914557371cd4b82" TargetMode="External"/><Relationship Id="rId168" Type="http://schemas.openxmlformats.org/officeDocument/2006/relationships/hyperlink" Target="https://en.wikipedia.org/wiki/Tender_Buttons_(album)" TargetMode="External"/><Relationship Id="rId8" Type="http://schemas.openxmlformats.org/officeDocument/2006/relationships/hyperlink" Target="https://en.wikipedia.org/wiki/Notes_on_a_Conditional_Form" TargetMode="External"/><Relationship Id="rId51" Type="http://schemas.openxmlformats.org/officeDocument/2006/relationships/hyperlink" Target="https://en.wikipedia.org/wiki/New_Magnetic_Wonder" TargetMode="External"/><Relationship Id="rId72" Type="http://schemas.openxmlformats.org/officeDocument/2006/relationships/hyperlink" Target="https://www.reddit.com/r/indieheads/comments/zmlxhe/redo_thursday_arctic_monkeys/?utm_source=share&amp;utm_medium=ios_app&amp;utm_name=iossmf" TargetMode="External"/><Relationship Id="rId93" Type="http://schemas.openxmlformats.org/officeDocument/2006/relationships/hyperlink" Target="https://open.spotify.com/playlist/522tYNlu4NCZ4J1oApbvPS?si=b5587003ad034aac" TargetMode="External"/><Relationship Id="rId98" Type="http://schemas.openxmlformats.org/officeDocument/2006/relationships/hyperlink" Target="https://open.spotify.com/playlist/6FNx5MHFnkGdaJ8xPK3ujX?si=05d49d6f22a343e5" TargetMode="External"/><Relationship Id="rId121" Type="http://schemas.openxmlformats.org/officeDocument/2006/relationships/hyperlink" Target="https://open.spotify.com/user/swik12/playlist/6ZzlfPZQRXMNkA6fEB2JSE?si=o3961rm_Tty4R8HghQxj2Q" TargetMode="External"/><Relationship Id="rId142" Type="http://schemas.openxmlformats.org/officeDocument/2006/relationships/hyperlink" Target="https://open.spotify.com/playlist/6Wa1r1xrx3zymG6PCMZdLP?si=d0616ad414594254" TargetMode="External"/><Relationship Id="rId163" Type="http://schemas.openxmlformats.org/officeDocument/2006/relationships/hyperlink" Target="https://en.wikipedia.org/wiki/Tender_Buttons_(album)" TargetMode="External"/><Relationship Id="rId184" Type="http://schemas.openxmlformats.org/officeDocument/2006/relationships/hyperlink" Target="https://open.spotify.com/playlist/7tiI6S7uKTp0I0nW6Qll4e?si=26fdf7df9cc8469e" TargetMode="External"/><Relationship Id="rId189" Type="http://schemas.openxmlformats.org/officeDocument/2006/relationships/hyperlink" Target="https://en.wikipedia.org/wiki/Untrue_(album)" TargetMode="External"/><Relationship Id="rId3" Type="http://schemas.openxmlformats.org/officeDocument/2006/relationships/hyperlink" Target="https://en.wikipedia.org/wiki/A_Brief_Inquiry_into_Online_Relationships" TargetMode="External"/><Relationship Id="rId25" Type="http://schemas.openxmlformats.org/officeDocument/2006/relationships/hyperlink" Target="https://en.wikipedia.org/wiki/American_Football_(2019_album)" TargetMode="External"/><Relationship Id="rId46" Type="http://schemas.openxmlformats.org/officeDocument/2006/relationships/hyperlink" Target="https://open.spotify.com/playlist/0bSHShVLkHcw5PDkiFqmnU?si=ef4d965c6d5240c0" TargetMode="External"/><Relationship Id="rId67" Type="http://schemas.openxmlformats.org/officeDocument/2006/relationships/hyperlink" Target="https://en.wikipedia.org/wiki/Vs_the_Greatest_of_All_Time" TargetMode="External"/><Relationship Id="rId116" Type="http://schemas.openxmlformats.org/officeDocument/2006/relationships/hyperlink" Target="https://en.wikipedia.org/wiki/Silver_Wilkinson" TargetMode="External"/><Relationship Id="rId137" Type="http://schemas.openxmlformats.org/officeDocument/2006/relationships/hyperlink" Target="https://en.wikipedia.org/wiki/Coastal_Grooves" TargetMode="External"/><Relationship Id="rId158" Type="http://schemas.openxmlformats.org/officeDocument/2006/relationships/hyperlink" Target="https://en.wikipedia.org/wiki/Thank_God_for_Mental_Illness" TargetMode="External"/><Relationship Id="rId20" Type="http://schemas.openxmlformats.org/officeDocument/2006/relationships/hyperlink" Target="https://en.wikipedia.org/wiki/American_Football_(1999_album)" TargetMode="External"/><Relationship Id="rId41" Type="http://schemas.openxmlformats.org/officeDocument/2006/relationships/hyperlink" Target="https://en.wikipedia.org/wiki/Worlds_Apart_(...And_You_Will_Know_Us_by_the_Trail_of_Dead_album)" TargetMode="External"/><Relationship Id="rId62" Type="http://schemas.openxmlformats.org/officeDocument/2006/relationships/hyperlink" Target="https://en.wikipedia.org/wiki/Icky_Mettle" TargetMode="External"/><Relationship Id="rId83" Type="http://schemas.openxmlformats.org/officeDocument/2006/relationships/hyperlink" Target="https://en.wikipedia.org/wiki/Lost_Girls_(album)" TargetMode="External"/><Relationship Id="rId88" Type="http://schemas.openxmlformats.org/officeDocument/2006/relationships/hyperlink" Target="https://open.spotify.com/playlist/2mPTFFGF3SnzhnTYvtYhnj?si=9cf530be6efe4152" TargetMode="External"/><Relationship Id="rId111" Type="http://schemas.openxmlformats.org/officeDocument/2006/relationships/hyperlink" Target="https://en.wikipedia.org/wiki/Silver_Wilkinson" TargetMode="External"/><Relationship Id="rId132" Type="http://schemas.openxmlformats.org/officeDocument/2006/relationships/hyperlink" Target="https://en.wikipedia.org/wiki/Negro_Swan" TargetMode="External"/><Relationship Id="rId153" Type="http://schemas.openxmlformats.org/officeDocument/2006/relationships/hyperlink" Target="https://en.wikipedia.org/wiki/Give_It_Back!" TargetMode="External"/><Relationship Id="rId174" Type="http://schemas.openxmlformats.org/officeDocument/2006/relationships/hyperlink" Target="https://en.wikipedia.org/wiki/Saturation_II" TargetMode="External"/><Relationship Id="rId179" Type="http://schemas.openxmlformats.org/officeDocument/2006/relationships/hyperlink" Target="https://en.wikipedia.org/wiki/Saturation_III" TargetMode="External"/><Relationship Id="rId195" Type="http://schemas.openxmlformats.org/officeDocument/2006/relationships/hyperlink" Target="https://en.wikipedia.org/wiki/Untrue_(album)" TargetMode="External"/><Relationship Id="rId190" Type="http://schemas.openxmlformats.org/officeDocument/2006/relationships/hyperlink" Target="https://en.wikipedia.org/wiki/Kindred_(EP)" TargetMode="External"/><Relationship Id="rId15" Type="http://schemas.openxmlformats.org/officeDocument/2006/relationships/hyperlink" Target="https://open.spotify.com/user/swik12/playlist/0ww8sfPW01O7gvV7W0XSNa?si=8IYi1m0MTKitO09IKUCxsA" TargetMode="External"/><Relationship Id="rId36" Type="http://schemas.openxmlformats.org/officeDocument/2006/relationships/hyperlink" Target="https://en.wikipedia.org/wiki/Worlds_Apart_(...And_You_Will_Know_Us_by_the_Trail_of_Dead_album)" TargetMode="External"/><Relationship Id="rId57" Type="http://schemas.openxmlformats.org/officeDocument/2006/relationships/hyperlink" Target="https://en.wikipedia.org/wiki/Fun_Trick_Noisemaker" TargetMode="External"/><Relationship Id="rId106" Type="http://schemas.openxmlformats.org/officeDocument/2006/relationships/hyperlink" Target="https://en.wikipedia.org/wiki/Always_Tomorrow_(album)" TargetMode="External"/><Relationship Id="rId127" Type="http://schemas.openxmlformats.org/officeDocument/2006/relationships/hyperlink" Target="https://open.spotify.com/playlist/5NkCJPb5Qftd96LS1hypo2?si=1839cb0edbb541c0" TargetMode="External"/><Relationship Id="rId10" Type="http://schemas.openxmlformats.org/officeDocument/2006/relationships/hyperlink" Target="https://en.wikipedia.org/wiki/A_Brief_Inquiry_into_Online_Relationships" TargetMode="External"/><Relationship Id="rId31" Type="http://schemas.openxmlformats.org/officeDocument/2006/relationships/hyperlink" Target="https://www.reddit.com/r/indieheads/comments/rb0sf0/top_ten_tuesday_and_you_will_know_us_by_the_trail/" TargetMode="External"/><Relationship Id="rId52" Type="http://schemas.openxmlformats.org/officeDocument/2006/relationships/hyperlink" Target="https://en.wikipedia.org/wiki/Her_Wallpaper_Reverie" TargetMode="External"/><Relationship Id="rId73" Type="http://schemas.openxmlformats.org/officeDocument/2006/relationships/hyperlink" Target="https://open.spotify.com/playlist/07yBOHmO3TjEb4i5cYAj3R?si=00178aec35984431" TargetMode="External"/><Relationship Id="rId78" Type="http://schemas.openxmlformats.org/officeDocument/2006/relationships/hyperlink" Target="https://en.wikipedia.org/wiki/Two_Suns" TargetMode="External"/><Relationship Id="rId94" Type="http://schemas.openxmlformats.org/officeDocument/2006/relationships/hyperlink" Target="https://www.youtube.com/watch?v=_L16J4Sk944" TargetMode="External"/><Relationship Id="rId99" Type="http://schemas.openxmlformats.org/officeDocument/2006/relationships/hyperlink" Target="https://en.wikipedia.org/wiki/Crazy_for_You_(Best_Coast_album)" TargetMode="External"/><Relationship Id="rId101" Type="http://schemas.openxmlformats.org/officeDocument/2006/relationships/hyperlink" Target="https://en.wikipedia.org/wiki/Crazy_for_You_(Best_Coast_album)" TargetMode="External"/><Relationship Id="rId122" Type="http://schemas.openxmlformats.org/officeDocument/2006/relationships/hyperlink" Target="https://www.reddit.com/r/indieheads/comments/yrdtzj/redo_thursday_big_thief/?utm_source=share&amp;utm_medium=ios_app&amp;utm_name=iossmf" TargetMode="External"/><Relationship Id="rId143" Type="http://schemas.openxmlformats.org/officeDocument/2006/relationships/hyperlink" Target="https://open.spotify.com/playlist/2G5n2mAadvpWrI8i3cd81s?si=G2iK-MN0QBi3kqgcIWCh5A" TargetMode="External"/><Relationship Id="rId148" Type="http://schemas.openxmlformats.org/officeDocument/2006/relationships/hyperlink" Target="https://www.reddit.com/r/indieheads/comments/r5nhsk/top_ten_tuesday_the_brian_jonestown_massacre/" TargetMode="External"/><Relationship Id="rId164" Type="http://schemas.openxmlformats.org/officeDocument/2006/relationships/hyperlink" Target="https://en.wikipedia.org/wiki/Tender_Buttons_(album)" TargetMode="External"/><Relationship Id="rId169" Type="http://schemas.openxmlformats.org/officeDocument/2006/relationships/hyperlink" Target="https://en.wikipedia.org/wiki/Tender_Buttons_(album)" TargetMode="External"/><Relationship Id="rId185" Type="http://schemas.openxmlformats.org/officeDocument/2006/relationships/hyperlink" Target="https://open.spotify.com/playlist/21aQAUJlWsu4IcGjoOIJYL?si=9a210780e4a2486c" TargetMode="External"/><Relationship Id="rId4" Type="http://schemas.openxmlformats.org/officeDocument/2006/relationships/hyperlink" Target="https://en.wikipedia.org/wiki/The_1975_(album)" TargetMode="External"/><Relationship Id="rId9" Type="http://schemas.openxmlformats.org/officeDocument/2006/relationships/hyperlink" Target="https://en.wikipedia.org/wiki/A_Brief_Inquiry_into_Online_Relationships" TargetMode="External"/><Relationship Id="rId180" Type="http://schemas.openxmlformats.org/officeDocument/2006/relationships/hyperlink" Target="https://en.wikipedia.org/wiki/Saturation_II" TargetMode="External"/><Relationship Id="rId26" Type="http://schemas.openxmlformats.org/officeDocument/2006/relationships/hyperlink" Target="https://en.wikipedia.org/wiki/American_Football_(1999_album)" TargetMode="External"/><Relationship Id="rId47" Type="http://schemas.openxmlformats.org/officeDocument/2006/relationships/hyperlink" Target="https://www.reddit.com/r/indieheads/comments/nfave6/top_ten_tuesday_the_apples_in_stereo/" TargetMode="External"/><Relationship Id="rId68" Type="http://schemas.openxmlformats.org/officeDocument/2006/relationships/hyperlink" Target="https://en.wikipedia.org/wiki/Vs_the_Greatest_of_All_Time" TargetMode="External"/><Relationship Id="rId89" Type="http://schemas.openxmlformats.org/officeDocument/2006/relationships/hyperlink" Target="https://open.spotify.com/playlist/0BM2S8NWfo3KMEvYwWf2dT?si=npPjWCA1S46B_fv5Jgq6MQ" TargetMode="External"/><Relationship Id="rId112" Type="http://schemas.openxmlformats.org/officeDocument/2006/relationships/hyperlink" Target="https://en.wikipedia.org/wiki/Ambivalence_Avenue" TargetMode="External"/><Relationship Id="rId133" Type="http://schemas.openxmlformats.org/officeDocument/2006/relationships/hyperlink" Target="https://en.wikipedia.org/wiki/Cupid_Deluxe" TargetMode="External"/><Relationship Id="rId154" Type="http://schemas.openxmlformats.org/officeDocument/2006/relationships/hyperlink" Target="https://en.wikipedia.org/wiki/Revelation_(BJM_album)" TargetMode="External"/><Relationship Id="rId175" Type="http://schemas.openxmlformats.org/officeDocument/2006/relationships/hyperlink" Target="https://en.wikipedia.org/wiki/Saturation_II" TargetMode="External"/><Relationship Id="rId196" Type="http://schemas.openxmlformats.org/officeDocument/2006/relationships/hyperlink" Target="https://en.wikipedia.org/wiki/Street_Halo" TargetMode="External"/><Relationship Id="rId200" Type="http://schemas.openxmlformats.org/officeDocument/2006/relationships/hyperlink" Target="https://open.spotify.com/playlist/6jhcgjkGiRVs68AzKK1wiI?si=LuXC4IbURM2B7fDrPjDPiQ" TargetMode="External"/><Relationship Id="rId16" Type="http://schemas.openxmlformats.org/officeDocument/2006/relationships/hyperlink" Target="https://open.spotify.com/user/swik12/playlist/7FMHLqoF6ZJv0tL7ZqjoYz?si=S5oTajh7ReyK_jey8JR7iQ" TargetMode="External"/><Relationship Id="rId37" Type="http://schemas.openxmlformats.org/officeDocument/2006/relationships/hyperlink" Target="https://en.wikipedia.org/wiki/Madonna_(...And_You_Will_Know_Us_by_the_Trail_of_Dead_album)" TargetMode="External"/><Relationship Id="rId58" Type="http://schemas.openxmlformats.org/officeDocument/2006/relationships/hyperlink" Target="https://en.wikipedia.org/wiki/Her_Wallpaper_Reverie" TargetMode="External"/><Relationship Id="rId79" Type="http://schemas.openxmlformats.org/officeDocument/2006/relationships/hyperlink" Target="https://en.wikipedia.org/wiki/The_Haunted_Man_(album)" TargetMode="External"/><Relationship Id="rId102" Type="http://schemas.openxmlformats.org/officeDocument/2006/relationships/hyperlink" Target="https://en.wikipedia.org/wiki/Crazy_for_You_(Best_Coast_album)" TargetMode="External"/><Relationship Id="rId123" Type="http://schemas.openxmlformats.org/officeDocument/2006/relationships/hyperlink" Target="https://open.spotify.com/playlist/6jhcgjkGiRVs68AzKK1wiI?si=LuXC4IbURM2B7fDrPjDPiQ" TargetMode="External"/><Relationship Id="rId144" Type="http://schemas.openxmlformats.org/officeDocument/2006/relationships/hyperlink" Target="https://open.spotify.com/playlist/3LMpLxQ51jYYFNNInI2t0A" TargetMode="External"/><Relationship Id="rId90" Type="http://schemas.openxmlformats.org/officeDocument/2006/relationships/hyperlink" Target="https://www.reddit.com/r/indieheads/comments/yl5lrl/redo_thursday_beach_house/?utm_source=share&amp;utm_medium=ios_app&amp;utm_name=iossmf" TargetMode="External"/><Relationship Id="rId165" Type="http://schemas.openxmlformats.org/officeDocument/2006/relationships/hyperlink" Target="https://en.wikipedia.org/wiki/Haha_Sound" TargetMode="External"/><Relationship Id="rId186" Type="http://schemas.openxmlformats.org/officeDocument/2006/relationships/hyperlink" Target="https://open.spotify.com/playlist/0yJeWVJfwaZ2LAJLvTxE7k?si=zVTpxALJSKOAuWyXvvNsIQ" TargetMode="External"/><Relationship Id="rId27" Type="http://schemas.openxmlformats.org/officeDocument/2006/relationships/hyperlink" Target="https://en.wikipedia.org/wiki/American_Football_(1999_album)" TargetMode="External"/><Relationship Id="rId48" Type="http://schemas.openxmlformats.org/officeDocument/2006/relationships/hyperlink" Target="https://open.spotify.com/playlist/0Fo2LNf3NBzdwfYsD0tk3z?si=d3bc496e2af542c5" TargetMode="External"/><Relationship Id="rId69" Type="http://schemas.openxmlformats.org/officeDocument/2006/relationships/hyperlink" Target="https://en.wikipedia.org/wiki/Icky_Mettle" TargetMode="External"/><Relationship Id="rId113" Type="http://schemas.openxmlformats.org/officeDocument/2006/relationships/hyperlink" Target="https://en.wikipedia.org/wiki/Ribbons_(album)" TargetMode="External"/><Relationship Id="rId134" Type="http://schemas.openxmlformats.org/officeDocument/2006/relationships/hyperlink" Target="https://en.wikipedia.org/wiki/Cupid_Deluxe" TargetMode="External"/><Relationship Id="rId80" Type="http://schemas.openxmlformats.org/officeDocument/2006/relationships/hyperlink" Target="https://en.wikipedia.org/wiki/The_Haunted_Man_(album)" TargetMode="External"/><Relationship Id="rId155" Type="http://schemas.openxmlformats.org/officeDocument/2006/relationships/hyperlink" Target="https://en.wikipedia.org/wiki/Methodrone" TargetMode="External"/><Relationship Id="rId176" Type="http://schemas.openxmlformats.org/officeDocument/2006/relationships/hyperlink" Target="https://en.wikipedia.org/wiki/Saturation_II" TargetMode="External"/><Relationship Id="rId197" Type="http://schemas.openxmlformats.org/officeDocument/2006/relationships/hyperlink" Target="https://en.wikipedia.org/wiki/Untrue_(album)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https://www.reddit.com/r/indieheads/comments/hqzd06/top_ten_tuesday_american_football/" TargetMode="External"/><Relationship Id="rId38" Type="http://schemas.openxmlformats.org/officeDocument/2006/relationships/hyperlink" Target="https://en.wikipedia.org/wiki/Source_Tags_%26_Codes" TargetMode="External"/><Relationship Id="rId59" Type="http://schemas.openxmlformats.org/officeDocument/2006/relationships/hyperlink" Target="https://open.spotify.com/playlist/4rpwumYjixzNGUimwJa7Jf?si=705735af028e4e84" TargetMode="External"/><Relationship Id="rId103" Type="http://schemas.openxmlformats.org/officeDocument/2006/relationships/hyperlink" Target="https://en.wikipedia.org/wiki/The_Only_Place" TargetMode="External"/><Relationship Id="rId124" Type="http://schemas.openxmlformats.org/officeDocument/2006/relationships/hyperlink" Target="https://open.spotify.com/user/swik12/playlist/2aMZyDaCLr2orkUukfxjtj?si=bPArdtU1SrmvfvFnSYV2zA" TargetMode="External"/><Relationship Id="rId70" Type="http://schemas.openxmlformats.org/officeDocument/2006/relationships/hyperlink" Target="https://en.wikipedia.org/wiki/Vs_the_Greatest_of_All_Time" TargetMode="External"/><Relationship Id="rId91" Type="http://schemas.openxmlformats.org/officeDocument/2006/relationships/hyperlink" Target="https://open.spotify.com/user/swik12/playlist/29ggCjBbdNP1UkszsY8lUK?si=knBfHkdgRn2a7-Q2sTgu4Q" TargetMode="External"/><Relationship Id="rId145" Type="http://schemas.openxmlformats.org/officeDocument/2006/relationships/hyperlink" Target="https://open.spotify.com/playlist/4WqT90rvxgVBaktcK7d8gw?si=569a16365fc3490b" TargetMode="External"/><Relationship Id="rId166" Type="http://schemas.openxmlformats.org/officeDocument/2006/relationships/hyperlink" Target="https://en.wikipedia.org/wiki/Tender_Buttons_(album)" TargetMode="External"/><Relationship Id="rId187" Type="http://schemas.openxmlformats.org/officeDocument/2006/relationships/hyperlink" Target="https://www.reddit.com/r/indieheads/comments/tqxtr6/top_ten_tuesday_burial/" TargetMode="External"/><Relationship Id="rId1" Type="http://schemas.openxmlformats.org/officeDocument/2006/relationships/hyperlink" Target="https://www.reddit.com/r/indieheads/comments/ixl8gu/top_ten_tuesday_the_1975/" TargetMode="External"/><Relationship Id="rId28" Type="http://schemas.openxmlformats.org/officeDocument/2006/relationships/hyperlink" Target="https://en.wikipedia.org/wiki/American_Football_(1999_album)" TargetMode="External"/><Relationship Id="rId49" Type="http://schemas.openxmlformats.org/officeDocument/2006/relationships/hyperlink" Target="https://en.wikipedia.org/wiki/Fun_Trick_Noisemaker" TargetMode="External"/><Relationship Id="rId114" Type="http://schemas.openxmlformats.org/officeDocument/2006/relationships/hyperlink" Target="https://en.wikipedia.org/wiki/A_Mineral_Love" TargetMode="External"/><Relationship Id="rId60" Type="http://schemas.openxmlformats.org/officeDocument/2006/relationships/hyperlink" Target="https://www.reddit.com/r/indieheads/comments/k98nfo/top_ten_tuesday_archers_of_loaf/" TargetMode="External"/><Relationship Id="rId81" Type="http://schemas.openxmlformats.org/officeDocument/2006/relationships/hyperlink" Target="https://en.wikipedia.org/wiki/Two_Suns" TargetMode="External"/><Relationship Id="rId135" Type="http://schemas.openxmlformats.org/officeDocument/2006/relationships/hyperlink" Target="https://en.wikipedia.org/wiki/Freetown_Sound" TargetMode="External"/><Relationship Id="rId156" Type="http://schemas.openxmlformats.org/officeDocument/2006/relationships/hyperlink" Target="https://en.wikipedia.org/wiki/Methodrone" TargetMode="External"/><Relationship Id="rId177" Type="http://schemas.openxmlformats.org/officeDocument/2006/relationships/hyperlink" Target="https://en.wikipedia.org/wiki/Saturation_(Brockhampton_album)" TargetMode="External"/><Relationship Id="rId198" Type="http://schemas.openxmlformats.org/officeDocument/2006/relationships/hyperlink" Target="https://www.reddit.com/r/indieheads/comments/118dme1/top_ten_tuesday_the_byrds/?utm_source=share&amp;utm_medium=ios_app&amp;utm_name=iossmf" TargetMode="External"/><Relationship Id="rId18" Type="http://schemas.openxmlformats.org/officeDocument/2006/relationships/hyperlink" Target="https://open.spotify.com/playlist/1CceuliJt5Nhti70cU7m3H?si=lo5tdVLcSbKh0hgiz4ktNQ" TargetMode="External"/><Relationship Id="rId39" Type="http://schemas.openxmlformats.org/officeDocument/2006/relationships/hyperlink" Target="https://en.wikipedia.org/wiki/The_Century_of_Self" TargetMode="External"/><Relationship Id="rId50" Type="http://schemas.openxmlformats.org/officeDocument/2006/relationships/hyperlink" Target="https://en.wikipedia.org/wiki/Fun_Trick_Noisemaker" TargetMode="External"/><Relationship Id="rId104" Type="http://schemas.openxmlformats.org/officeDocument/2006/relationships/hyperlink" Target="https://en.wikipedia.org/wiki/California_Nights_(Best_Coast_album)" TargetMode="External"/><Relationship Id="rId125" Type="http://schemas.openxmlformats.org/officeDocument/2006/relationships/hyperlink" Target="https://www.reddit.com/r/indieheads/comments/y17cox/top_ten_tuesday_black_midi/?utm_source=share&amp;utm_medium=ios_app&amp;utm_name=iossmf" TargetMode="External"/><Relationship Id="rId146" Type="http://schemas.openxmlformats.org/officeDocument/2006/relationships/hyperlink" Target="https://open.spotify.com/playlist/0ry6OzMulcoCVgdXhD3xzK?si=ba7dd8ad70514686" TargetMode="External"/><Relationship Id="rId167" Type="http://schemas.openxmlformats.org/officeDocument/2006/relationships/hyperlink" Target="https://en.wikipedia.org/wiki/Haha_Sound" TargetMode="External"/><Relationship Id="rId188" Type="http://schemas.openxmlformats.org/officeDocument/2006/relationships/hyperlink" Target="https://open.spotify.com/playlist/3fBSiaZFobRMKlxcVOL7Ee?si=7fb4d7b4325b42e4" TargetMode="External"/><Relationship Id="rId71" Type="http://schemas.openxmlformats.org/officeDocument/2006/relationships/hyperlink" Target="https://en.wikipedia.org/wiki/All_the_Nations_Airports" TargetMode="External"/><Relationship Id="rId92" Type="http://schemas.openxmlformats.org/officeDocument/2006/relationships/hyperlink" Target="https://www.reddit.com/r/indieheads/comments/yeus37/redo_thursday_the_beatles/?utm_source=share&amp;utm_medium=ios_app&amp;utm_name=iossmf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Milk_Man_(Deerhoof_album)" TargetMode="External"/><Relationship Id="rId21" Type="http://schemas.openxmlformats.org/officeDocument/2006/relationships/hyperlink" Target="https://www.reddit.com/r/indieheads/comments/zwfajt/top_ten_tuesday_charli_xcx/?utm_source=share&amp;utm_medium=ios_app&amp;utm_name=iossmf" TargetMode="External"/><Relationship Id="rId63" Type="http://schemas.openxmlformats.org/officeDocument/2006/relationships/hyperlink" Target="https://www.reddit.com/r/indieheads/comments/1255kx9/top_ten_tuesday_daft_punk_redo/" TargetMode="External"/><Relationship Id="rId159" Type="http://schemas.openxmlformats.org/officeDocument/2006/relationships/hyperlink" Target="https://en.wikipedia.org/wiki/Deceiver_(DIIV_album)" TargetMode="External"/><Relationship Id="rId170" Type="http://schemas.openxmlformats.org/officeDocument/2006/relationships/hyperlink" Target="https://en.wikipedia.org/wiki/Contemporary_Movement" TargetMode="External"/><Relationship Id="rId226" Type="http://schemas.openxmlformats.org/officeDocument/2006/relationships/hyperlink" Target="https://open.spotify.com/user/swik12/playlist/3vdJGBGE4vtpAIwAL9tfXd?si=U_ywKrelSVK5_cXbKKvF3A" TargetMode="External"/><Relationship Id="rId107" Type="http://schemas.openxmlformats.org/officeDocument/2006/relationships/hyperlink" Target="https://en.wikipedia.org/wiki/You%27re_a_Woman,_I%27m_a_Machine" TargetMode="External"/><Relationship Id="rId11" Type="http://schemas.openxmlformats.org/officeDocument/2006/relationships/hyperlink" Target="https://en.wikipedia.org/wiki/Swim_(Caribou_album)" TargetMode="External"/><Relationship Id="rId32" Type="http://schemas.openxmlformats.org/officeDocument/2006/relationships/hyperlink" Target="https://www.reddit.com/r/indieheads/comments/o0hlfx/top_ten_tuesday_clap_your_hands_say_yeah/" TargetMode="External"/><Relationship Id="rId53" Type="http://schemas.openxmlformats.org/officeDocument/2006/relationships/hyperlink" Target="https://en.wikipedia.org/wiki/CLPPNG" TargetMode="External"/><Relationship Id="rId74" Type="http://schemas.openxmlformats.org/officeDocument/2006/relationships/hyperlink" Target="https://en.wikipedia.org/wiki/Spiderman_of_the_Rings" TargetMode="External"/><Relationship Id="rId128" Type="http://schemas.openxmlformats.org/officeDocument/2006/relationships/hyperlink" Target="https://www.reddit.com/r/indieheads/comments/gquvax/top_ten_tuesday_deftones/" TargetMode="External"/><Relationship Id="rId149" Type="http://schemas.openxmlformats.org/officeDocument/2006/relationships/hyperlink" Target="https://en.wikipedia.org/wiki/Q._Are_We_Not_Men%3F_A:_We_Are_Devo!" TargetMode="External"/><Relationship Id="rId5" Type="http://schemas.openxmlformats.org/officeDocument/2006/relationships/hyperlink" Target="https://open.spotify.com/playlist/4CKoHi4Sj2vMrMnyEl5Jcv?si=Y3VOcfYSQe6_F_LvumVhAA" TargetMode="External"/><Relationship Id="rId95" Type="http://schemas.openxmlformats.org/officeDocument/2006/relationships/hyperlink" Target="https://en.wikipedia.org/wiki/Ordinary_Corrupt_Human_Love" TargetMode="External"/><Relationship Id="rId160" Type="http://schemas.openxmlformats.org/officeDocument/2006/relationships/hyperlink" Target="https://en.wikipedia.org/wiki/Deceiver_(DIIV_album)" TargetMode="External"/><Relationship Id="rId181" Type="http://schemas.openxmlformats.org/officeDocument/2006/relationships/hyperlink" Target="https://open.spotify.com/playlist/4FA3D3wMqTITYr2gvu72Nr?si=b7bb68a260434471" TargetMode="External"/><Relationship Id="rId216" Type="http://schemas.openxmlformats.org/officeDocument/2006/relationships/hyperlink" Target="https://en.wikipedia.org/wiki/The_Idler_Wheel..." TargetMode="External"/><Relationship Id="rId237" Type="http://schemas.openxmlformats.org/officeDocument/2006/relationships/hyperlink" Target="https://en.wikipedia.org/wiki/Sixteen_Oceans" TargetMode="External"/><Relationship Id="rId258" Type="http://schemas.openxmlformats.org/officeDocument/2006/relationships/hyperlink" Target="https://en.wikipedia.org/wiki/Blonde_(Frank_Ocean_album)" TargetMode="External"/><Relationship Id="rId22" Type="http://schemas.openxmlformats.org/officeDocument/2006/relationships/hyperlink" Target="https://www.reddit.com/r/indieheads/comments/n9xleo/top_ten_tuesday_chromatics/" TargetMode="External"/><Relationship Id="rId43" Type="http://schemas.openxmlformats.org/officeDocument/2006/relationships/hyperlink" Target="https://open.spotify.com/playlist/1LKPnPn2SMyL1BtFnkm9mv?si=5244097310c74176" TargetMode="External"/><Relationship Id="rId64" Type="http://schemas.openxmlformats.org/officeDocument/2006/relationships/hyperlink" Target="https://www.reddit.com/r/indieheads/comments/mbetdm/top_ten_tuesday_dan_deacon/" TargetMode="External"/><Relationship Id="rId118" Type="http://schemas.openxmlformats.org/officeDocument/2006/relationships/hyperlink" Target="https://en.wikipedia.org/wiki/Friend_Opportunity" TargetMode="External"/><Relationship Id="rId139" Type="http://schemas.openxmlformats.org/officeDocument/2006/relationships/hyperlink" Target="https://en.wikipedia.org/wiki/Around_the_Fur" TargetMode="External"/><Relationship Id="rId85" Type="http://schemas.openxmlformats.org/officeDocument/2006/relationships/hyperlink" Target="https://en.wikipedia.org/wiki/Atrocity_Exhibition_(album)" TargetMode="External"/><Relationship Id="rId150" Type="http://schemas.openxmlformats.org/officeDocument/2006/relationships/hyperlink" Target="https://en.wikipedia.org/wiki/New_Traditionalists" TargetMode="External"/><Relationship Id="rId171" Type="http://schemas.openxmlformats.org/officeDocument/2006/relationships/hyperlink" Target="https://en.wikipedia.org/wiki/Stratosphere_(Duster_album)" TargetMode="External"/><Relationship Id="rId192" Type="http://schemas.openxmlformats.org/officeDocument/2006/relationships/hyperlink" Target="https://www.reddit.com/r/indieheads/comments/zy5zt1/redo_thursday_elliott_smith/?utm_source=share&amp;utm_medium=ios_app&amp;utm_name=iossmf" TargetMode="External"/><Relationship Id="rId206" Type="http://schemas.openxmlformats.org/officeDocument/2006/relationships/hyperlink" Target="https://en.wikipedia.org/wiki/Fidlar_(album)" TargetMode="External"/><Relationship Id="rId227" Type="http://schemas.openxmlformats.org/officeDocument/2006/relationships/hyperlink" Target="https://open.spotify.com/playlist/5pkpuX9ubYffrcxG8grUfg?si=HWyyd1ubR6OOp3QvZgWXAw" TargetMode="External"/><Relationship Id="rId248" Type="http://schemas.openxmlformats.org/officeDocument/2006/relationships/hyperlink" Target="https://en.wikipedia.org/wiki/Nearer_My_God" TargetMode="External"/><Relationship Id="rId12" Type="http://schemas.openxmlformats.org/officeDocument/2006/relationships/hyperlink" Target="https://en.wikipedia.org/wiki/Our_Love_(Caribou_album)" TargetMode="External"/><Relationship Id="rId33" Type="http://schemas.openxmlformats.org/officeDocument/2006/relationships/hyperlink" Target="https://open.spotify.com/playlist/7atcfPaZiQqh7jLJ6zjGeV?si=cb10fd58f0a343e3" TargetMode="External"/><Relationship Id="rId108" Type="http://schemas.openxmlformats.org/officeDocument/2006/relationships/hyperlink" Target="https://en.wikipedia.org/wiki/You%27re_a_Woman,_I%27m_a_Machine" TargetMode="External"/><Relationship Id="rId129" Type="http://schemas.openxmlformats.org/officeDocument/2006/relationships/hyperlink" Target="https://open.spotify.com/playlist/3dysFTiIONwa3VtBxOHm33?si=hqwlO9rzQUq0MInKwCjm8A" TargetMode="External"/><Relationship Id="rId54" Type="http://schemas.openxmlformats.org/officeDocument/2006/relationships/hyperlink" Target="https://en.wikipedia.org/wiki/Visions_of_Bodies_Being_Burned" TargetMode="External"/><Relationship Id="rId75" Type="http://schemas.openxmlformats.org/officeDocument/2006/relationships/hyperlink" Target="https://en.wikipedia.org/wiki/Mystic_Familiar" TargetMode="External"/><Relationship Id="rId96" Type="http://schemas.openxmlformats.org/officeDocument/2006/relationships/hyperlink" Target="https://en.wikipedia.org/wiki/New_Bermuda_(album)" TargetMode="External"/><Relationship Id="rId140" Type="http://schemas.openxmlformats.org/officeDocument/2006/relationships/hyperlink" Target="https://open.spotify.com/user/swik12/playlist/26wR9td8O4aKvx2qJqMUFO?si=aQ_JjQykSkOL8NKCRth7xg" TargetMode="External"/><Relationship Id="rId161" Type="http://schemas.openxmlformats.org/officeDocument/2006/relationships/hyperlink" Target="https://en.wikipedia.org/wiki/Oshin_(album)" TargetMode="External"/><Relationship Id="rId182" Type="http://schemas.openxmlformats.org/officeDocument/2006/relationships/hyperlink" Target="https://en.wikipedia.org/wiki/The_Seldom_Seen_Kid" TargetMode="External"/><Relationship Id="rId217" Type="http://schemas.openxmlformats.org/officeDocument/2006/relationships/hyperlink" Target="https://en.wikipedia.org/wiki/Fetch_the_Bolt_Cutters" TargetMode="External"/><Relationship Id="rId6" Type="http://schemas.openxmlformats.org/officeDocument/2006/relationships/hyperlink" Target="https://en.wikipedia.org/wiki/Swim_(Caribou_album)" TargetMode="External"/><Relationship Id="rId238" Type="http://schemas.openxmlformats.org/officeDocument/2006/relationships/hyperlink" Target="https://en.wikipedia.org/wiki/There_Is_Love_in_You" TargetMode="External"/><Relationship Id="rId259" Type="http://schemas.openxmlformats.org/officeDocument/2006/relationships/hyperlink" Target="https://en.wikipedia.org/wiki/Channel_Orange" TargetMode="External"/><Relationship Id="rId23" Type="http://schemas.openxmlformats.org/officeDocument/2006/relationships/hyperlink" Target="https://open.spotify.com/playlist/5BR137IauQogu6eyHu1lDE?si=d44c429579b842a5" TargetMode="External"/><Relationship Id="rId119" Type="http://schemas.openxmlformats.org/officeDocument/2006/relationships/hyperlink" Target="https://en.wikipedia.org/wiki/Apple_O%27" TargetMode="External"/><Relationship Id="rId44" Type="http://schemas.openxmlformats.org/officeDocument/2006/relationships/hyperlink" Target="https://www.reddit.com/r/indieheads/comments/px4x0n/top_ten_tuesday_clipping/" TargetMode="External"/><Relationship Id="rId65" Type="http://schemas.openxmlformats.org/officeDocument/2006/relationships/hyperlink" Target="https://open.spotify.com/playlist/1tY2zMkahrgNI0pNsEBXT1?si=NWzAhMjoSmGysrGqRAGsNA" TargetMode="External"/><Relationship Id="rId86" Type="http://schemas.openxmlformats.org/officeDocument/2006/relationships/hyperlink" Target="https://en.wikipedia.org/wiki/Atrocity_Exhibition_(album)" TargetMode="External"/><Relationship Id="rId130" Type="http://schemas.openxmlformats.org/officeDocument/2006/relationships/hyperlink" Target="https://en.wikipedia.org/wiki/White_Pony" TargetMode="External"/><Relationship Id="rId151" Type="http://schemas.openxmlformats.org/officeDocument/2006/relationships/hyperlink" Target="https://en.wikipedia.org/wiki/Freedom_of_Choice_(album)" TargetMode="External"/><Relationship Id="rId172" Type="http://schemas.openxmlformats.org/officeDocument/2006/relationships/hyperlink" Target="https://en.wikipedia.org/wiki/Stratosphere_(Duster_album)" TargetMode="External"/><Relationship Id="rId193" Type="http://schemas.openxmlformats.org/officeDocument/2006/relationships/hyperlink" Target="https://open.spotify.com/user/swik12/playlist/5g9021q2yaKS8Sjafq2PH3?si=X0Padt5qRGCq_P396ERmWQ" TargetMode="External"/><Relationship Id="rId207" Type="http://schemas.openxmlformats.org/officeDocument/2006/relationships/hyperlink" Target="https://www.reddit.com/r/indieheads/comments/ibyro5/top_ten_tuesday_fiona_apple/" TargetMode="External"/><Relationship Id="rId228" Type="http://schemas.openxmlformats.org/officeDocument/2006/relationships/hyperlink" Target="https://www.reddit.com/r/indieheads/comments/xd61qm/top_ten_tuesday_foster_the_people/" TargetMode="External"/><Relationship Id="rId249" Type="http://schemas.openxmlformats.org/officeDocument/2006/relationships/hyperlink" Target="https://en.wikipedia.org/wiki/Dealer_(album)" TargetMode="External"/><Relationship Id="rId13" Type="http://schemas.openxmlformats.org/officeDocument/2006/relationships/hyperlink" Target="https://en.wikipedia.org/wiki/Swim_(Caribou_album)" TargetMode="External"/><Relationship Id="rId109" Type="http://schemas.openxmlformats.org/officeDocument/2006/relationships/hyperlink" Target="https://en.wikipedia.org/wiki/The_Physical_World" TargetMode="External"/><Relationship Id="rId260" Type="http://schemas.openxmlformats.org/officeDocument/2006/relationships/hyperlink" Target="https://en.wikipedia.org/wiki/Blonde_(Frank_Ocean_album)" TargetMode="External"/><Relationship Id="rId34" Type="http://schemas.openxmlformats.org/officeDocument/2006/relationships/hyperlink" Target="https://en.wikipedia.org/wiki/Clap_Your_Hands_Say_Yeah_(album)" TargetMode="External"/><Relationship Id="rId55" Type="http://schemas.openxmlformats.org/officeDocument/2006/relationships/hyperlink" Target="https://en.wikipedia.org/wiki/Visions_of_Bodies_Being_Burned" TargetMode="External"/><Relationship Id="rId76" Type="http://schemas.openxmlformats.org/officeDocument/2006/relationships/hyperlink" Target="https://www.reddit.com/r/indieheads/comments/qq2q44/top_ten_tuesday_danny_brown/" TargetMode="External"/><Relationship Id="rId97" Type="http://schemas.openxmlformats.org/officeDocument/2006/relationships/hyperlink" Target="https://en.wikipedia.org/wiki/Infinite_Granite" TargetMode="External"/><Relationship Id="rId120" Type="http://schemas.openxmlformats.org/officeDocument/2006/relationships/hyperlink" Target="https://en.wikipedia.org/wiki/The_Runners_Four" TargetMode="External"/><Relationship Id="rId141" Type="http://schemas.openxmlformats.org/officeDocument/2006/relationships/hyperlink" Target="https://www.reddit.com/r/indieheads/comments/hikzcb/top_ten_tuesday_devo/" TargetMode="External"/><Relationship Id="rId7" Type="http://schemas.openxmlformats.org/officeDocument/2006/relationships/hyperlink" Target="https://en.wikipedia.org/wiki/Our_Love_(Caribou_album)" TargetMode="External"/><Relationship Id="rId162" Type="http://schemas.openxmlformats.org/officeDocument/2006/relationships/hyperlink" Target="https://en.wikipedia.org/wiki/Is_the_Is_Are" TargetMode="External"/><Relationship Id="rId183" Type="http://schemas.openxmlformats.org/officeDocument/2006/relationships/hyperlink" Target="https://en.wikipedia.org/wiki/The_Seldom_Seen_Kid" TargetMode="External"/><Relationship Id="rId218" Type="http://schemas.openxmlformats.org/officeDocument/2006/relationships/hyperlink" Target="https://en.wikipedia.org/wiki/Fetch_the_Bolt_Cutters" TargetMode="External"/><Relationship Id="rId239" Type="http://schemas.openxmlformats.org/officeDocument/2006/relationships/hyperlink" Target="https://en.wikipedia.org/wiki/Rounds_(album)" TargetMode="External"/><Relationship Id="rId250" Type="http://schemas.openxmlformats.org/officeDocument/2006/relationships/hyperlink" Target="https://en.wikipedia.org/wiki/Nearer_My_God" TargetMode="External"/><Relationship Id="rId24" Type="http://schemas.openxmlformats.org/officeDocument/2006/relationships/hyperlink" Target="https://en.wikipedia.org/wiki/Kill_for_Love" TargetMode="External"/><Relationship Id="rId45" Type="http://schemas.openxmlformats.org/officeDocument/2006/relationships/hyperlink" Target="https://open.spotify.com/playlist/6Oogfh3wtCScw2nTxt62jl?si=0a32d258190649fc" TargetMode="External"/><Relationship Id="rId66" Type="http://schemas.openxmlformats.org/officeDocument/2006/relationships/hyperlink" Target="https://en.wikipedia.org/wiki/Spiderman_of_the_Rings" TargetMode="External"/><Relationship Id="rId87" Type="http://schemas.openxmlformats.org/officeDocument/2006/relationships/hyperlink" Target="https://www.reddit.com/r/indieheads/comments/40o0s7/top_ten_tuesday_david_bowie/" TargetMode="External"/><Relationship Id="rId110" Type="http://schemas.openxmlformats.org/officeDocument/2006/relationships/hyperlink" Target="https://en.wikipedia.org/wiki/Outrage!_Is_Now" TargetMode="External"/><Relationship Id="rId131" Type="http://schemas.openxmlformats.org/officeDocument/2006/relationships/hyperlink" Target="https://en.wikipedia.org/wiki/Around_the_Fur" TargetMode="External"/><Relationship Id="rId152" Type="http://schemas.openxmlformats.org/officeDocument/2006/relationships/hyperlink" Target="https://en.wikipedia.org/wiki/Duty_Now_for_the_Future" TargetMode="External"/><Relationship Id="rId173" Type="http://schemas.openxmlformats.org/officeDocument/2006/relationships/hyperlink" Target="https://en.wikipedia.org/wiki/Stratosphere_(Duster_album)" TargetMode="External"/><Relationship Id="rId194" Type="http://schemas.openxmlformats.org/officeDocument/2006/relationships/hyperlink" Target="https://open.spotify.com/playlist/323fo4Qygg8n1AOHJUXGuo?si=JhDuXhnUQti1HeS2-4V9kw" TargetMode="External"/><Relationship Id="rId208" Type="http://schemas.openxmlformats.org/officeDocument/2006/relationships/hyperlink" Target="https://open.spotify.com/playlist/2bXPPAkJshboPUAIBTwvLA?si=u20Xzs6rR6aA86AvXe3IQg" TargetMode="External"/><Relationship Id="rId229" Type="http://schemas.openxmlformats.org/officeDocument/2006/relationships/hyperlink" Target="https://open.spotify.com/playlist/3E8kK1eVNdoWUirut6b4Bn?si=GT9C6LR7QEu4zkPD6_2BQA" TargetMode="External"/><Relationship Id="rId240" Type="http://schemas.openxmlformats.org/officeDocument/2006/relationships/hyperlink" Target="https://en.wikipedia.org/wiki/Rounds_(album)" TargetMode="External"/><Relationship Id="rId261" Type="http://schemas.openxmlformats.org/officeDocument/2006/relationships/hyperlink" Target="https://en.wikipedia.org/wiki/Blonde_(Frank_Ocean_album)" TargetMode="External"/><Relationship Id="rId14" Type="http://schemas.openxmlformats.org/officeDocument/2006/relationships/hyperlink" Target="https://en.wikipedia.org/wiki/Our_Love_(Caribou_album)" TargetMode="External"/><Relationship Id="rId35" Type="http://schemas.openxmlformats.org/officeDocument/2006/relationships/hyperlink" Target="https://en.wikipedia.org/wiki/Clap_Your_Hands_Say_Yeah_(album)" TargetMode="External"/><Relationship Id="rId56" Type="http://schemas.openxmlformats.org/officeDocument/2006/relationships/hyperlink" Target="https://open.spotify.com/user/swik12/playlist/6ixrrC62FfYiTnLgU4y5lJ?si=alm9yvkhSQGH8o5q_7w_dA" TargetMode="External"/><Relationship Id="rId77" Type="http://schemas.openxmlformats.org/officeDocument/2006/relationships/hyperlink" Target="https://open.spotify.com/playlist/5LOiWgJTrUPOOJWMSd75ii?si=7ccc60b9ff644f02" TargetMode="External"/><Relationship Id="rId100" Type="http://schemas.openxmlformats.org/officeDocument/2006/relationships/hyperlink" Target="https://en.wikipedia.org/wiki/New_Bermuda_(album)" TargetMode="External"/><Relationship Id="rId8" Type="http://schemas.openxmlformats.org/officeDocument/2006/relationships/hyperlink" Target="https://en.wikipedia.org/wiki/Suddenly_(Caribou_album)" TargetMode="External"/><Relationship Id="rId98" Type="http://schemas.openxmlformats.org/officeDocument/2006/relationships/hyperlink" Target="https://en.wikipedia.org/wiki/Sunbather_(album)" TargetMode="External"/><Relationship Id="rId121" Type="http://schemas.openxmlformats.org/officeDocument/2006/relationships/hyperlink" Target="https://en.wikipedia.org/wiki/The_Runners_Four" TargetMode="External"/><Relationship Id="rId142" Type="http://schemas.openxmlformats.org/officeDocument/2006/relationships/hyperlink" Target="https://open.spotify.com/playlist/46OZjpuzZrIOvTs4bmcOjO?si=KzXvOXTlSKGVPCuGWHvIBA" TargetMode="External"/><Relationship Id="rId163" Type="http://schemas.openxmlformats.org/officeDocument/2006/relationships/hyperlink" Target="https://en.wikipedia.org/wiki/Oshin_(album)" TargetMode="External"/><Relationship Id="rId184" Type="http://schemas.openxmlformats.org/officeDocument/2006/relationships/hyperlink" Target="https://en.wikipedia.org/wiki/The_Seldom_Seen_Kid" TargetMode="External"/><Relationship Id="rId219" Type="http://schemas.openxmlformats.org/officeDocument/2006/relationships/hyperlink" Target="https://www.reddit.com/r/indieheads/comments/11l1fmp/top_ten_tuesday_fishmans/" TargetMode="External"/><Relationship Id="rId230" Type="http://schemas.openxmlformats.org/officeDocument/2006/relationships/hyperlink" Target="https://www.reddit.com/r/indieheads/comments/nv68qa/top_ten_tuesday_four_tet/" TargetMode="External"/><Relationship Id="rId251" Type="http://schemas.openxmlformats.org/officeDocument/2006/relationships/hyperlink" Target="https://en.wikipedia.org/wiki/Dealer_(album)" TargetMode="External"/><Relationship Id="rId25" Type="http://schemas.openxmlformats.org/officeDocument/2006/relationships/hyperlink" Target="https://en.wikipedia.org/wiki/Kill_for_Love" TargetMode="External"/><Relationship Id="rId46" Type="http://schemas.openxmlformats.org/officeDocument/2006/relationships/hyperlink" Target="https://en.wikipedia.org/wiki/CLPPNG" TargetMode="External"/><Relationship Id="rId67" Type="http://schemas.openxmlformats.org/officeDocument/2006/relationships/hyperlink" Target="https://en.wikipedia.org/wiki/Gliss_Riffer" TargetMode="External"/><Relationship Id="rId88" Type="http://schemas.openxmlformats.org/officeDocument/2006/relationships/hyperlink" Target="https://www.reddit.com/r/indieheads/comments/1127cob/top_ten_tuesday_dead_kennedys/?utm_source=share&amp;utm_medium=ios_app&amp;utm_name=iossmf" TargetMode="External"/><Relationship Id="rId111" Type="http://schemas.openxmlformats.org/officeDocument/2006/relationships/hyperlink" Target="https://en.wikipedia.org/wiki/Heads_Up_(Death_from_Above_EP)" TargetMode="External"/><Relationship Id="rId132" Type="http://schemas.openxmlformats.org/officeDocument/2006/relationships/hyperlink" Target="https://en.wikipedia.org/wiki/White_Pony" TargetMode="External"/><Relationship Id="rId153" Type="http://schemas.openxmlformats.org/officeDocument/2006/relationships/hyperlink" Target="https://www.reddit.com/r/indieheads/comments/it6dt2/top_ten_tuesday_diiv/" TargetMode="External"/><Relationship Id="rId174" Type="http://schemas.openxmlformats.org/officeDocument/2006/relationships/hyperlink" Target="https://en.wikipedia.org/wiki/Stratosphere_(Duster_album)" TargetMode="External"/><Relationship Id="rId195" Type="http://schemas.openxmlformats.org/officeDocument/2006/relationships/hyperlink" Target="https://www.reddit.com/r/indieheads/comments/mzp970/top_ten_tuesday_fidlar/" TargetMode="External"/><Relationship Id="rId209" Type="http://schemas.openxmlformats.org/officeDocument/2006/relationships/hyperlink" Target="https://en.wikipedia.org/wiki/The_Idler_Wheel..." TargetMode="External"/><Relationship Id="rId220" Type="http://schemas.openxmlformats.org/officeDocument/2006/relationships/hyperlink" Target="https://open.spotify.com/playlist/6tgtqp897SfErxSmdLX5Ob?si=yKDekiETTeKiegUaeDbHCQ" TargetMode="External"/><Relationship Id="rId241" Type="http://schemas.openxmlformats.org/officeDocument/2006/relationships/hyperlink" Target="https://en.wikipedia.org/wiki/Sixteen_Oceans" TargetMode="External"/><Relationship Id="rId15" Type="http://schemas.openxmlformats.org/officeDocument/2006/relationships/hyperlink" Target="https://en.wikipedia.org/wiki/Our_Love_(Caribou_album)" TargetMode="External"/><Relationship Id="rId36" Type="http://schemas.openxmlformats.org/officeDocument/2006/relationships/hyperlink" Target="https://en.wikipedia.org/wiki/Clap_Your_Hands_Say_Yeah_(album)" TargetMode="External"/><Relationship Id="rId57" Type="http://schemas.openxmlformats.org/officeDocument/2006/relationships/hyperlink" Target="https://open.spotify.com/playlist/3tlkmLHuiRnPpxBxTbECo4?si=0823be095ac04cf3" TargetMode="External"/><Relationship Id="rId262" Type="http://schemas.openxmlformats.org/officeDocument/2006/relationships/hyperlink" Target="https://en.wikipedia.org/wiki/Blonde_(Frank_Ocean_album)" TargetMode="External"/><Relationship Id="rId78" Type="http://schemas.openxmlformats.org/officeDocument/2006/relationships/hyperlink" Target="https://en.wikipedia.org/wiki/Atrocity_Exhibition_(album)" TargetMode="External"/><Relationship Id="rId99" Type="http://schemas.openxmlformats.org/officeDocument/2006/relationships/hyperlink" Target="https://en.wikipedia.org/wiki/Infinite_Granite" TargetMode="External"/><Relationship Id="rId101" Type="http://schemas.openxmlformats.org/officeDocument/2006/relationships/hyperlink" Target="https://www.reddit.com/r/indieheads/comments/3fs7om/top_ten_tuesday_death_cab_for_cutie/" TargetMode="External"/><Relationship Id="rId122" Type="http://schemas.openxmlformats.org/officeDocument/2006/relationships/hyperlink" Target="https://en.wikipedia.org/wiki/Deerhoof_vs._Evil" TargetMode="External"/><Relationship Id="rId143" Type="http://schemas.openxmlformats.org/officeDocument/2006/relationships/hyperlink" Target="https://en.wikipedia.org/wiki/Q._Are_We_Not_Men%3F_A:_We_Are_Devo!" TargetMode="External"/><Relationship Id="rId164" Type="http://schemas.openxmlformats.org/officeDocument/2006/relationships/hyperlink" Target="https://en.wikipedia.org/wiki/Oshin_(album)" TargetMode="External"/><Relationship Id="rId185" Type="http://schemas.openxmlformats.org/officeDocument/2006/relationships/hyperlink" Target="https://en.wikipedia.org/wiki/The_Seldom_Seen_Kid" TargetMode="External"/><Relationship Id="rId9" Type="http://schemas.openxmlformats.org/officeDocument/2006/relationships/hyperlink" Target="https://en.wikipedia.org/wiki/Andorra_(album)" TargetMode="External"/><Relationship Id="rId210" Type="http://schemas.openxmlformats.org/officeDocument/2006/relationships/hyperlink" Target="https://en.wikipedia.org/wiki/When_the_Pawn..." TargetMode="External"/><Relationship Id="rId26" Type="http://schemas.openxmlformats.org/officeDocument/2006/relationships/hyperlink" Target="https://en.wikipedia.org/wiki/Closer_to_Grey" TargetMode="External"/><Relationship Id="rId231" Type="http://schemas.openxmlformats.org/officeDocument/2006/relationships/hyperlink" Target="https://open.spotify.com/playlist/13DUiZ4jNQAswqZCXKk98M?si=67bcac9e55d24a54" TargetMode="External"/><Relationship Id="rId252" Type="http://schemas.openxmlformats.org/officeDocument/2006/relationships/hyperlink" Target="https://en.wikipedia.org/wiki/The_Albatross_(album)" TargetMode="External"/><Relationship Id="rId47" Type="http://schemas.openxmlformats.org/officeDocument/2006/relationships/hyperlink" Target="https://en.wikipedia.org/wiki/Visions_of_Bodies_Being_Burned" TargetMode="External"/><Relationship Id="rId68" Type="http://schemas.openxmlformats.org/officeDocument/2006/relationships/hyperlink" Target="https://en.wikipedia.org/wiki/America_(Dan_Deacon_album)" TargetMode="External"/><Relationship Id="rId89" Type="http://schemas.openxmlformats.org/officeDocument/2006/relationships/hyperlink" Target="https://www.reddit.com/r/indieheads/comments/tk14lv/top_ten_tuesday_deafheaven/" TargetMode="External"/><Relationship Id="rId112" Type="http://schemas.openxmlformats.org/officeDocument/2006/relationships/hyperlink" Target="https://en.wikipedia.org/wiki/Outrage!_Is_Now" TargetMode="External"/><Relationship Id="rId133" Type="http://schemas.openxmlformats.org/officeDocument/2006/relationships/hyperlink" Target="https://en.wikipedia.org/wiki/White_Pony" TargetMode="External"/><Relationship Id="rId154" Type="http://schemas.openxmlformats.org/officeDocument/2006/relationships/hyperlink" Target="https://open.spotify.com/playlist/2XclCkla8cCvS24BMYnHBD?si=fQ4LqTGSSsmxWT959l8RIw" TargetMode="External"/><Relationship Id="rId175" Type="http://schemas.openxmlformats.org/officeDocument/2006/relationships/hyperlink" Target="https://en.wikipedia.org/wiki/Contemporary_Movement" TargetMode="External"/><Relationship Id="rId196" Type="http://schemas.openxmlformats.org/officeDocument/2006/relationships/hyperlink" Target="https://open.spotify.com/playlist/3SXsG4Yd0lD20v3UsXf1sd?si=1eecd25b548749e2" TargetMode="External"/><Relationship Id="rId200" Type="http://schemas.openxmlformats.org/officeDocument/2006/relationships/hyperlink" Target="https://en.wikipedia.org/wiki/Fidlar_(album)" TargetMode="External"/><Relationship Id="rId16" Type="http://schemas.openxmlformats.org/officeDocument/2006/relationships/hyperlink" Target="https://open.spotify.com/playlist/0hMt7pVGb5XinYleyAgB45?si=d70ee19cfba04b18" TargetMode="External"/><Relationship Id="rId221" Type="http://schemas.openxmlformats.org/officeDocument/2006/relationships/hyperlink" Target="https://www.reddit.com/r/indieheads/comments/sccof7/top_ten_tuesday_the_flaming_lips/" TargetMode="External"/><Relationship Id="rId242" Type="http://schemas.openxmlformats.org/officeDocument/2006/relationships/hyperlink" Target="https://www.reddit.com/r/indieheads/comments/ki42ol/top_ten_tuesday_foxing/" TargetMode="External"/><Relationship Id="rId263" Type="http://schemas.openxmlformats.org/officeDocument/2006/relationships/hyperlink" Target="https://en.wikipedia.org/wiki/Blonde_(Frank_Ocean_album)" TargetMode="External"/><Relationship Id="rId37" Type="http://schemas.openxmlformats.org/officeDocument/2006/relationships/hyperlink" Target="https://en.wikipedia.org/wiki/Clap_Your_Hands_Say_Yeah_(album)" TargetMode="External"/><Relationship Id="rId58" Type="http://schemas.openxmlformats.org/officeDocument/2006/relationships/hyperlink" Target="https://open.spotify.com/playlist/7FBIgXyqVOKpjDvnRo6PAw?si=22ee9149a7164178" TargetMode="External"/><Relationship Id="rId79" Type="http://schemas.openxmlformats.org/officeDocument/2006/relationships/hyperlink" Target="https://en.wikipedia.org/wiki/Atrocity_Exhibition_(album)" TargetMode="External"/><Relationship Id="rId102" Type="http://schemas.openxmlformats.org/officeDocument/2006/relationships/hyperlink" Target="https://www.reddit.com/r/indieheads/comments/u72v94/top_ten_tuesday_death_from_above_1979/" TargetMode="External"/><Relationship Id="rId123" Type="http://schemas.openxmlformats.org/officeDocument/2006/relationships/hyperlink" Target="https://en.wikipedia.org/wiki/The_Runners_Four" TargetMode="External"/><Relationship Id="rId144" Type="http://schemas.openxmlformats.org/officeDocument/2006/relationships/hyperlink" Target="https://en.wikipedia.org/wiki/Q._Are_We_Not_Men%3F_A:_We_Are_Devo!" TargetMode="External"/><Relationship Id="rId90" Type="http://schemas.openxmlformats.org/officeDocument/2006/relationships/hyperlink" Target="https://open.spotify.com/playlist/66tkl5c4oUHUMfMjkBqiuu?si=dd27e8e54c364346" TargetMode="External"/><Relationship Id="rId165" Type="http://schemas.openxmlformats.org/officeDocument/2006/relationships/hyperlink" Target="https://open.spotify.com/user/swik12/playlist/5DiaALAkvyS1HxobJ6G1aC?si=eVYyHSx0TOesOHuvGLRaXw" TargetMode="External"/><Relationship Id="rId186" Type="http://schemas.openxmlformats.org/officeDocument/2006/relationships/hyperlink" Target="https://en.wikipedia.org/wiki/Cast_of_Thousands" TargetMode="External"/><Relationship Id="rId211" Type="http://schemas.openxmlformats.org/officeDocument/2006/relationships/hyperlink" Target="https://en.wikipedia.org/wiki/Fetch_the_Bolt_Cutters" TargetMode="External"/><Relationship Id="rId232" Type="http://schemas.openxmlformats.org/officeDocument/2006/relationships/hyperlink" Target="https://en.wikipedia.org/wiki/There_Is_Love_in_You" TargetMode="External"/><Relationship Id="rId253" Type="http://schemas.openxmlformats.org/officeDocument/2006/relationships/hyperlink" Target="https://en.wikipedia.org/wiki/Dealer_(album)" TargetMode="External"/><Relationship Id="rId27" Type="http://schemas.openxmlformats.org/officeDocument/2006/relationships/hyperlink" Target="https://en.wikipedia.org/wiki/Kill_for_Love" TargetMode="External"/><Relationship Id="rId48" Type="http://schemas.openxmlformats.org/officeDocument/2006/relationships/hyperlink" Target="https://en.wikipedia.org/wiki/CLPPNG" TargetMode="External"/><Relationship Id="rId69" Type="http://schemas.openxmlformats.org/officeDocument/2006/relationships/hyperlink" Target="https://en.wikipedia.org/wiki/Bromst" TargetMode="External"/><Relationship Id="rId113" Type="http://schemas.openxmlformats.org/officeDocument/2006/relationships/hyperlink" Target="https://en.wikipedia.org/wiki/The_Physical_World" TargetMode="External"/><Relationship Id="rId134" Type="http://schemas.openxmlformats.org/officeDocument/2006/relationships/hyperlink" Target="https://en.wikipedia.org/wiki/White_Pony" TargetMode="External"/><Relationship Id="rId80" Type="http://schemas.openxmlformats.org/officeDocument/2006/relationships/hyperlink" Target="https://en.wikipedia.org/wiki/XXX_(Danny_Brown_album)" TargetMode="External"/><Relationship Id="rId155" Type="http://schemas.openxmlformats.org/officeDocument/2006/relationships/hyperlink" Target="https://en.wikipedia.org/wiki/Deceiver_(DIIV_album)" TargetMode="External"/><Relationship Id="rId176" Type="http://schemas.openxmlformats.org/officeDocument/2006/relationships/hyperlink" Target="https://en.wikipedia.org/wiki/Contemporary_Movement" TargetMode="External"/><Relationship Id="rId197" Type="http://schemas.openxmlformats.org/officeDocument/2006/relationships/hyperlink" Target="https://en.wikipedia.org/wiki/Fidlar_(album)" TargetMode="External"/><Relationship Id="rId201" Type="http://schemas.openxmlformats.org/officeDocument/2006/relationships/hyperlink" Target="https://en.wikipedia.org/wiki/Fidlar_(album)" TargetMode="External"/><Relationship Id="rId222" Type="http://schemas.openxmlformats.org/officeDocument/2006/relationships/hyperlink" Target="https://open.spotify.com/playlist/5tbkVQnQ02dl38aFMKONMM?si=Y7rtxs_GRFiBfgf2nU3fBg" TargetMode="External"/><Relationship Id="rId243" Type="http://schemas.openxmlformats.org/officeDocument/2006/relationships/hyperlink" Target="https://open.spotify.com/playlist/3Ic16nBEDcykacTBQYEqHS?si=Vyn4n_8ST2OtYNGq_LAokw" TargetMode="External"/><Relationship Id="rId264" Type="http://schemas.openxmlformats.org/officeDocument/2006/relationships/hyperlink" Target="https://en.wikipedia.org/wiki/Channel_Orange" TargetMode="External"/><Relationship Id="rId17" Type="http://schemas.openxmlformats.org/officeDocument/2006/relationships/hyperlink" Target="https://open.spotify.com/playlist/7zAqe2JI577Q4uT21SKQpC?si=Z4PXX5yHRbW3yvbYjpIiFg" TargetMode="External"/><Relationship Id="rId38" Type="http://schemas.openxmlformats.org/officeDocument/2006/relationships/hyperlink" Target="https://en.wikipedia.org/wiki/Clap_Your_Hands_Say_Yeah_(album)" TargetMode="External"/><Relationship Id="rId59" Type="http://schemas.openxmlformats.org/officeDocument/2006/relationships/hyperlink" Target="https://open.spotify.com/playlist/1TSZqRF83GpkOTjhTX7ZQS?si=EXQOVYhzQXiMSbFY_REhxw" TargetMode="External"/><Relationship Id="rId103" Type="http://schemas.openxmlformats.org/officeDocument/2006/relationships/hyperlink" Target="https://open.spotify.com/playlist/4d3eqjFJANveK5k1Rp7JKZ?si=2b928639a6c446ea" TargetMode="External"/><Relationship Id="rId124" Type="http://schemas.openxmlformats.org/officeDocument/2006/relationships/hyperlink" Target="https://en.wikipedia.org/wiki/The_Runners_Four" TargetMode="External"/><Relationship Id="rId70" Type="http://schemas.openxmlformats.org/officeDocument/2006/relationships/hyperlink" Target="https://en.wikipedia.org/wiki/Bromst" TargetMode="External"/><Relationship Id="rId91" Type="http://schemas.openxmlformats.org/officeDocument/2006/relationships/hyperlink" Target="https://en.wikipedia.org/wiki/Sunbather_(album)" TargetMode="External"/><Relationship Id="rId145" Type="http://schemas.openxmlformats.org/officeDocument/2006/relationships/hyperlink" Target="https://en.wikipedia.org/wiki/Q._Are_We_Not_Men%3F_A:_We_Are_Devo!" TargetMode="External"/><Relationship Id="rId166" Type="http://schemas.openxmlformats.org/officeDocument/2006/relationships/hyperlink" Target="https://www.reddit.com/r/indieheads/comments/jn8se0/top_ten_tuesday_duster/" TargetMode="External"/><Relationship Id="rId187" Type="http://schemas.openxmlformats.org/officeDocument/2006/relationships/hyperlink" Target="https://en.wikipedia.org/wiki/Leaders_of_the_Free_World" TargetMode="External"/><Relationship Id="rId1" Type="http://schemas.openxmlformats.org/officeDocument/2006/relationships/hyperlink" Target="https://open.spotify.com/playlist/1Kq3RqYFvQKeaTmVfFyy9Q?si=008dc112821641b1" TargetMode="External"/><Relationship Id="rId212" Type="http://schemas.openxmlformats.org/officeDocument/2006/relationships/hyperlink" Target="https://en.wikipedia.org/wiki/The_Idler_Wheel..." TargetMode="External"/><Relationship Id="rId233" Type="http://schemas.openxmlformats.org/officeDocument/2006/relationships/hyperlink" Target="https://en.wikipedia.org/wiki/There_Is_Love_in_You" TargetMode="External"/><Relationship Id="rId254" Type="http://schemas.openxmlformats.org/officeDocument/2006/relationships/hyperlink" Target="https://open.spotify.com/playlist/1fP2R0BeWskgFGNplnvY7Y?si=iBWQNoU_R8WjmbDuZjRARw" TargetMode="External"/><Relationship Id="rId28" Type="http://schemas.openxmlformats.org/officeDocument/2006/relationships/hyperlink" Target="https://en.wikipedia.org/wiki/Kill_for_Love" TargetMode="External"/><Relationship Id="rId49" Type="http://schemas.openxmlformats.org/officeDocument/2006/relationships/hyperlink" Target="https://en.wikipedia.org/wiki/Visions_of_Bodies_Being_Burned" TargetMode="External"/><Relationship Id="rId114" Type="http://schemas.openxmlformats.org/officeDocument/2006/relationships/hyperlink" Target="https://open.spotify.com/user/swik12/playlist/4VduceE1cwSTJmFHNnBrCS?si=13oh4i_ARWO6BEW9LGMozQ" TargetMode="External"/><Relationship Id="rId60" Type="http://schemas.openxmlformats.org/officeDocument/2006/relationships/hyperlink" Target="https://www.reddit.com/r/indieheads/comments/z1z411/top_ten_thursday_crosby_stills_nash_young/" TargetMode="External"/><Relationship Id="rId81" Type="http://schemas.openxmlformats.org/officeDocument/2006/relationships/hyperlink" Target="https://en.wikipedia.org/wiki/Atrocity_Exhibition_(album)" TargetMode="External"/><Relationship Id="rId135" Type="http://schemas.openxmlformats.org/officeDocument/2006/relationships/hyperlink" Target="https://en.wikipedia.org/wiki/White_Pony" TargetMode="External"/><Relationship Id="rId156" Type="http://schemas.openxmlformats.org/officeDocument/2006/relationships/hyperlink" Target="https://en.wikipedia.org/wiki/Oshin_(album)" TargetMode="External"/><Relationship Id="rId177" Type="http://schemas.openxmlformats.org/officeDocument/2006/relationships/hyperlink" Target="https://en.wikipedia.org/wiki/Stratosphere_(Duster_album)" TargetMode="External"/><Relationship Id="rId198" Type="http://schemas.openxmlformats.org/officeDocument/2006/relationships/hyperlink" Target="https://en.wikipedia.org/wiki/Fidlar_(album)" TargetMode="External"/><Relationship Id="rId202" Type="http://schemas.openxmlformats.org/officeDocument/2006/relationships/hyperlink" Target="https://en.wikipedia.org/wiki/Fidlar_(album)" TargetMode="External"/><Relationship Id="rId223" Type="http://schemas.openxmlformats.org/officeDocument/2006/relationships/hyperlink" Target="https://en.wikipedia.org/wiki/Clouds_Taste_Metallic" TargetMode="External"/><Relationship Id="rId244" Type="http://schemas.openxmlformats.org/officeDocument/2006/relationships/hyperlink" Target="https://en.wikipedia.org/wiki/Nearer_My_God" TargetMode="External"/><Relationship Id="rId18" Type="http://schemas.openxmlformats.org/officeDocument/2006/relationships/hyperlink" Target="https://www.reddit.com/r/indieheads/comments/10ehzzv/top_ten_tuesday_captain_beefheart/?utm_source=share&amp;utm_medium=ios_app&amp;utm_name=iossmf" TargetMode="External"/><Relationship Id="rId39" Type="http://schemas.openxmlformats.org/officeDocument/2006/relationships/hyperlink" Target="https://en.wikipedia.org/wiki/Clap_Your_Hands_Say_Yeah_(album)" TargetMode="External"/><Relationship Id="rId265" Type="http://schemas.openxmlformats.org/officeDocument/2006/relationships/hyperlink" Target="https://en.wikipedia.org/wiki/Blonde_(Frank_Ocean_album)" TargetMode="External"/><Relationship Id="rId50" Type="http://schemas.openxmlformats.org/officeDocument/2006/relationships/hyperlink" Target="https://en.wikipedia.org/wiki/There_Existed_an_Addiction_to_Blood" TargetMode="External"/><Relationship Id="rId104" Type="http://schemas.openxmlformats.org/officeDocument/2006/relationships/hyperlink" Target="https://en.wikipedia.org/wiki/You%27re_a_Woman,_I%27m_a_Machine" TargetMode="External"/><Relationship Id="rId125" Type="http://schemas.openxmlformats.org/officeDocument/2006/relationships/hyperlink" Target="https://en.wikipedia.org/wiki/Apple_O%27" TargetMode="External"/><Relationship Id="rId146" Type="http://schemas.openxmlformats.org/officeDocument/2006/relationships/hyperlink" Target="https://en.wikipedia.org/wiki/Freedom_of_Choice_(album)" TargetMode="External"/><Relationship Id="rId167" Type="http://schemas.openxmlformats.org/officeDocument/2006/relationships/hyperlink" Target="https://open.spotify.com/playlist/4P3JwUj7p0X9D62yvlrGJA?si=86HvZ_fVQ_Gin_4jpPokQg" TargetMode="External"/><Relationship Id="rId188" Type="http://schemas.openxmlformats.org/officeDocument/2006/relationships/hyperlink" Target="https://en.wikipedia.org/wiki/Build_a_Rocket_Boys!" TargetMode="External"/><Relationship Id="rId71" Type="http://schemas.openxmlformats.org/officeDocument/2006/relationships/hyperlink" Target="https://en.wikipedia.org/wiki/Gliss_Riffer" TargetMode="External"/><Relationship Id="rId92" Type="http://schemas.openxmlformats.org/officeDocument/2006/relationships/hyperlink" Target="https://en.wikipedia.org/wiki/Sunbather_(album)" TargetMode="External"/><Relationship Id="rId213" Type="http://schemas.openxmlformats.org/officeDocument/2006/relationships/hyperlink" Target="https://en.wikipedia.org/wiki/Fetch_the_Bolt_Cutters" TargetMode="External"/><Relationship Id="rId234" Type="http://schemas.openxmlformats.org/officeDocument/2006/relationships/hyperlink" Target="https://en.wikipedia.org/wiki/New_Energy_(album)" TargetMode="External"/><Relationship Id="rId2" Type="http://schemas.openxmlformats.org/officeDocument/2006/relationships/hyperlink" Target="https://open.spotify.com/playlist/66rKbeJHA2ZZPKFls64tJF?si=6tjJkDMBQa-wu_RJEwpwmg" TargetMode="External"/><Relationship Id="rId29" Type="http://schemas.openxmlformats.org/officeDocument/2006/relationships/hyperlink" Target="https://en.wikipedia.org/wiki/Night_Drive_(album)" TargetMode="External"/><Relationship Id="rId255" Type="http://schemas.openxmlformats.org/officeDocument/2006/relationships/hyperlink" Target="https://www.reddit.com/r/indieheads/comments/jrkjnu/top_ten_tuesday_frank_ocean/" TargetMode="External"/><Relationship Id="rId40" Type="http://schemas.openxmlformats.org/officeDocument/2006/relationships/hyperlink" Target="https://en.wikipedia.org/wiki/Clap_Your_Hands_Say_Yeah_(album)" TargetMode="External"/><Relationship Id="rId115" Type="http://schemas.openxmlformats.org/officeDocument/2006/relationships/hyperlink" Target="https://www.reddit.com/r/indieheads/comments/k03j9n/top_ten_tuesday_deerhoof/" TargetMode="External"/><Relationship Id="rId136" Type="http://schemas.openxmlformats.org/officeDocument/2006/relationships/hyperlink" Target="https://en.wikipedia.org/wiki/Saturday_Night_Wrist" TargetMode="External"/><Relationship Id="rId157" Type="http://schemas.openxmlformats.org/officeDocument/2006/relationships/hyperlink" Target="https://en.wikipedia.org/wiki/Is_the_Is_Are" TargetMode="External"/><Relationship Id="rId178" Type="http://schemas.openxmlformats.org/officeDocument/2006/relationships/hyperlink" Target="https://www.reddit.com/r/indieheads/comments/xj6gmh/top_ten_tuesday_earl_sweatshirt/" TargetMode="External"/><Relationship Id="rId61" Type="http://schemas.openxmlformats.org/officeDocument/2006/relationships/hyperlink" Target="https://open.spotify.com/playlist/28jte0b5DuGu679VG91WM2?si=d82c32785f73419e" TargetMode="External"/><Relationship Id="rId82" Type="http://schemas.openxmlformats.org/officeDocument/2006/relationships/hyperlink" Target="https://en.wikipedia.org/wiki/U_Know_What_I%27m_Sayin%3F" TargetMode="External"/><Relationship Id="rId199" Type="http://schemas.openxmlformats.org/officeDocument/2006/relationships/hyperlink" Target="https://en.wikipedia.org/wiki/Too_(Fidlar_album)" TargetMode="External"/><Relationship Id="rId203" Type="http://schemas.openxmlformats.org/officeDocument/2006/relationships/hyperlink" Target="https://en.wikipedia.org/wiki/Fidlar_(album)" TargetMode="External"/><Relationship Id="rId19" Type="http://schemas.openxmlformats.org/officeDocument/2006/relationships/hyperlink" Target="https://open.spotify.com/playlist/3oE7VxZpYCzqpPsRS4a6TF?si=W4jk2oMxRuKq0woH-drezw" TargetMode="External"/><Relationship Id="rId224" Type="http://schemas.openxmlformats.org/officeDocument/2006/relationships/hyperlink" Target="https://en.wikipedia.org/wiki/Embryonic" TargetMode="External"/><Relationship Id="rId245" Type="http://schemas.openxmlformats.org/officeDocument/2006/relationships/hyperlink" Target="https://en.wikipedia.org/wiki/Nearer_My_God" TargetMode="External"/><Relationship Id="rId266" Type="http://schemas.openxmlformats.org/officeDocument/2006/relationships/hyperlink" Target="https://open.spotify.com/playlist/5TolkXuQnQAQ0FGTHaeaZm?si=do6Pu3-LQYK6S0KasgcANQ" TargetMode="External"/><Relationship Id="rId30" Type="http://schemas.openxmlformats.org/officeDocument/2006/relationships/hyperlink" Target="https://en.wikipedia.org/wiki/Kill_for_Love" TargetMode="External"/><Relationship Id="rId105" Type="http://schemas.openxmlformats.org/officeDocument/2006/relationships/hyperlink" Target="https://en.wikipedia.org/wiki/The_Physical_World" TargetMode="External"/><Relationship Id="rId126" Type="http://schemas.openxmlformats.org/officeDocument/2006/relationships/hyperlink" Target="https://en.wikipedia.org/wiki/Breakup_Song" TargetMode="External"/><Relationship Id="rId147" Type="http://schemas.openxmlformats.org/officeDocument/2006/relationships/hyperlink" Target="https://en.wikipedia.org/wiki/Duty_Now_for_the_Future" TargetMode="External"/><Relationship Id="rId168" Type="http://schemas.openxmlformats.org/officeDocument/2006/relationships/hyperlink" Target="https://en.wikipedia.org/wiki/Stratosphere_(Duster_album)" TargetMode="External"/><Relationship Id="rId51" Type="http://schemas.openxmlformats.org/officeDocument/2006/relationships/hyperlink" Target="https://en.wikipedia.org/wiki/There_Existed_an_Addiction_to_Blood" TargetMode="External"/><Relationship Id="rId72" Type="http://schemas.openxmlformats.org/officeDocument/2006/relationships/hyperlink" Target="https://en.wikipedia.org/wiki/Gliss_Riffer" TargetMode="External"/><Relationship Id="rId93" Type="http://schemas.openxmlformats.org/officeDocument/2006/relationships/hyperlink" Target="https://en.wikipedia.org/wiki/Sunbather_(album)" TargetMode="External"/><Relationship Id="rId189" Type="http://schemas.openxmlformats.org/officeDocument/2006/relationships/hyperlink" Target="https://en.wikipedia.org/wiki/Leaders_of_the_Free_World" TargetMode="External"/><Relationship Id="rId3" Type="http://schemas.openxmlformats.org/officeDocument/2006/relationships/hyperlink" Target="https://open.spotify.com/playlist/5TdtDqLljhVakaEIfcRq0l?si=7b50c5a60cfd43a7" TargetMode="External"/><Relationship Id="rId214" Type="http://schemas.openxmlformats.org/officeDocument/2006/relationships/hyperlink" Target="https://en.wikipedia.org/wiki/When_the_Pawn..." TargetMode="External"/><Relationship Id="rId235" Type="http://schemas.openxmlformats.org/officeDocument/2006/relationships/hyperlink" Target="https://en.wikipedia.org/wiki/There_Is_Love_in_You" TargetMode="External"/><Relationship Id="rId256" Type="http://schemas.openxmlformats.org/officeDocument/2006/relationships/hyperlink" Target="https://open.spotify.com/playlist/2qalF4MQzwFwdDy0NKB4hM?si=8kRSlIjmSESySFPI8Zfrog" TargetMode="External"/><Relationship Id="rId116" Type="http://schemas.openxmlformats.org/officeDocument/2006/relationships/hyperlink" Target="https://open.spotify.com/playlist/11KyJYF69JGzz035DeIcnq?si=R7tqbAASQOa6rpxTcnUnRg" TargetMode="External"/><Relationship Id="rId137" Type="http://schemas.openxmlformats.org/officeDocument/2006/relationships/hyperlink" Target="https://en.wikipedia.org/wiki/Koi_No_Yokan" TargetMode="External"/><Relationship Id="rId158" Type="http://schemas.openxmlformats.org/officeDocument/2006/relationships/hyperlink" Target="https://en.wikipedia.org/wiki/Is_the_Is_Are" TargetMode="External"/><Relationship Id="rId20" Type="http://schemas.openxmlformats.org/officeDocument/2006/relationships/hyperlink" Target="https://www.reddit.com/r/indieheads/comments/108axb0/top_ten_tuesday_cate_le_bon/?utm_source=share&amp;utm_medium=ios_app&amp;utm_name=iossmf" TargetMode="External"/><Relationship Id="rId41" Type="http://schemas.openxmlformats.org/officeDocument/2006/relationships/hyperlink" Target="https://en.wikipedia.org/wiki/Clap_Your_Hands_Say_Yeah_(album)" TargetMode="External"/><Relationship Id="rId62" Type="http://schemas.openxmlformats.org/officeDocument/2006/relationships/hyperlink" Target="https://www.reddit.com/r/indieheads/comments/10rsghx/redo_thursday_the_cure/?utm_source=share&amp;utm_medium=ios_app&amp;utm_name=iossmf" TargetMode="External"/><Relationship Id="rId83" Type="http://schemas.openxmlformats.org/officeDocument/2006/relationships/hyperlink" Target="https://en.wikipedia.org/wiki/Atrocity_Exhibition_(album)" TargetMode="External"/><Relationship Id="rId179" Type="http://schemas.openxmlformats.org/officeDocument/2006/relationships/hyperlink" Target="https://open.spotify.com/playlist/4XWlfPjE3qabtjQGVwYipA?si=B_JPBVkVQ7yMDiUrx5hKkA" TargetMode="External"/><Relationship Id="rId190" Type="http://schemas.openxmlformats.org/officeDocument/2006/relationships/hyperlink" Target="https://en.wikipedia.org/wiki/The_Take_Off_and_Landing_of_Everything" TargetMode="External"/><Relationship Id="rId204" Type="http://schemas.openxmlformats.org/officeDocument/2006/relationships/hyperlink" Target="https://en.wikipedia.org/wiki/Too_(Fidlar_album)" TargetMode="External"/><Relationship Id="rId225" Type="http://schemas.openxmlformats.org/officeDocument/2006/relationships/hyperlink" Target="https://www.reddit.com/r/indieheads/comments/103zyet/redo_thursday_fleet_foxes/?utm_source=share&amp;utm_medium=ios_app&amp;utm_name=iossmf" TargetMode="External"/><Relationship Id="rId246" Type="http://schemas.openxmlformats.org/officeDocument/2006/relationships/hyperlink" Target="https://en.wikipedia.org/wiki/The_Albatross_(album)" TargetMode="External"/><Relationship Id="rId267" Type="http://schemas.openxmlformats.org/officeDocument/2006/relationships/hyperlink" Target="https://open.spotify.com/playlist/3oE7VxZpYCzqpPsRS4a6TF?si=W4jk2oMxRuKq0woH-drezw" TargetMode="External"/><Relationship Id="rId106" Type="http://schemas.openxmlformats.org/officeDocument/2006/relationships/hyperlink" Target="https://en.wikipedia.org/wiki/You%27re_a_Woman,_I%27m_a_Machine" TargetMode="External"/><Relationship Id="rId127" Type="http://schemas.openxmlformats.org/officeDocument/2006/relationships/hyperlink" Target="https://open.spotify.com/user/swik12/playlist/6EEuRfi3W8Quziw5WlForE?si=yko38qLSQjav2XUm118PoQ" TargetMode="External"/><Relationship Id="rId10" Type="http://schemas.openxmlformats.org/officeDocument/2006/relationships/hyperlink" Target="https://en.wikipedia.org/wiki/Suddenly_(Caribou_album)" TargetMode="External"/><Relationship Id="rId31" Type="http://schemas.openxmlformats.org/officeDocument/2006/relationships/hyperlink" Target="https://open.spotify.com/user/swik12/playlist/3U5Ijt0RyxNCHmleu8EI2a?si=yYtbNOsaSs6GMyF4O7vsHA" TargetMode="External"/><Relationship Id="rId52" Type="http://schemas.openxmlformats.org/officeDocument/2006/relationships/hyperlink" Target="https://en.wikipedia.org/wiki/Wriggle_(EP)" TargetMode="External"/><Relationship Id="rId73" Type="http://schemas.openxmlformats.org/officeDocument/2006/relationships/hyperlink" Target="https://en.wikipedia.org/wiki/Mystic_Familiar" TargetMode="External"/><Relationship Id="rId94" Type="http://schemas.openxmlformats.org/officeDocument/2006/relationships/hyperlink" Target="https://en.wikipedia.org/wiki/Ordinary_Corrupt_Human_Love" TargetMode="External"/><Relationship Id="rId148" Type="http://schemas.openxmlformats.org/officeDocument/2006/relationships/hyperlink" Target="https://en.wikipedia.org/wiki/Q._Are_We_Not_Men%3F_A:_We_Are_Devo!" TargetMode="External"/><Relationship Id="rId169" Type="http://schemas.openxmlformats.org/officeDocument/2006/relationships/hyperlink" Target="https://en.wikipedia.org/wiki/Stratosphere_(Duster_album)" TargetMode="External"/><Relationship Id="rId4" Type="http://schemas.openxmlformats.org/officeDocument/2006/relationships/hyperlink" Target="https://www.reddit.com/r/indieheads/comments/jvrrmi/top_ten_tuesday_caribou/" TargetMode="External"/><Relationship Id="rId180" Type="http://schemas.openxmlformats.org/officeDocument/2006/relationships/hyperlink" Target="https://www.reddit.com/r/indieheads/comments/ox58rf/top_ten_tuesday_elbow/" TargetMode="External"/><Relationship Id="rId215" Type="http://schemas.openxmlformats.org/officeDocument/2006/relationships/hyperlink" Target="https://en.wikipedia.org/wiki/The_Idler_Wheel..." TargetMode="External"/><Relationship Id="rId236" Type="http://schemas.openxmlformats.org/officeDocument/2006/relationships/hyperlink" Target="https://en.wikipedia.org/wiki/Pink_(Four_Tet_album)" TargetMode="External"/><Relationship Id="rId257" Type="http://schemas.openxmlformats.org/officeDocument/2006/relationships/hyperlink" Target="https://en.wikipedia.org/wiki/Blonde_(Frank_Ocean_album)" TargetMode="External"/><Relationship Id="rId42" Type="http://schemas.openxmlformats.org/officeDocument/2006/relationships/hyperlink" Target="https://en.wikipedia.org/wiki/Hysterical_(album)" TargetMode="External"/><Relationship Id="rId84" Type="http://schemas.openxmlformats.org/officeDocument/2006/relationships/hyperlink" Target="https://en.wikipedia.org/wiki/XXX_(Danny_Brown_album)" TargetMode="External"/><Relationship Id="rId138" Type="http://schemas.openxmlformats.org/officeDocument/2006/relationships/hyperlink" Target="https://en.wikipedia.org/wiki/Deftones_(album)" TargetMode="External"/><Relationship Id="rId191" Type="http://schemas.openxmlformats.org/officeDocument/2006/relationships/hyperlink" Target="https://en.wikipedia.org/wiki/The_Seldom_Seen_Kid" TargetMode="External"/><Relationship Id="rId205" Type="http://schemas.openxmlformats.org/officeDocument/2006/relationships/hyperlink" Target="https://en.wikipedia.org/wiki/Fidlar_(album)" TargetMode="External"/><Relationship Id="rId247" Type="http://schemas.openxmlformats.org/officeDocument/2006/relationships/hyperlink" Target="https://en.wikipedia.org/wiki/The_Albatross_(album)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en.spotify.com/playlist/7aRUD667maGcDpS0FU46Qc?si=4830841a3fa84fc1" TargetMode="External"/><Relationship Id="rId299" Type="http://schemas.openxmlformats.org/officeDocument/2006/relationships/hyperlink" Target="https://en.wikipedia.org/wiki/Transformer_(Lou_Reed_album)" TargetMode="External"/><Relationship Id="rId21" Type="http://schemas.openxmlformats.org/officeDocument/2006/relationships/hyperlink" Target="https://en.wikipedia.org/wiki/Liberty_Belle_and_the_Black_Diamond_Express" TargetMode="External"/><Relationship Id="rId63" Type="http://schemas.openxmlformats.org/officeDocument/2006/relationships/hyperlink" Target="https://en.wikipedia.org/wiki/Deathconsciousness" TargetMode="External"/><Relationship Id="rId159" Type="http://schemas.openxmlformats.org/officeDocument/2006/relationships/hyperlink" Target="https://en.wikipedia.org/wiki/Bleed_American" TargetMode="External"/><Relationship Id="rId170" Type="http://schemas.openxmlformats.org/officeDocument/2006/relationships/hyperlink" Target="https://open.spotify.com/playlist/4Q0uMAfKv4Gq18WLiUCo5G?si=f4b6d9879f504fff" TargetMode="External"/><Relationship Id="rId226" Type="http://schemas.openxmlformats.org/officeDocument/2006/relationships/hyperlink" Target="https://en.wikipedia.org/wiki/6_Feet_Beneath_the_Moon" TargetMode="External"/><Relationship Id="rId268" Type="http://schemas.openxmlformats.org/officeDocument/2006/relationships/hyperlink" Target="https://open.spotify.com/playlist/4xxgwmqHK7rqI6lbDEf6hI?si=8696e9276f434c6c" TargetMode="External"/><Relationship Id="rId32" Type="http://schemas.openxmlformats.org/officeDocument/2006/relationships/hyperlink" Target="https://open.spotify.com/playlist/3UBAhpKvm0ARF6xku7fpDL?si=Lvuy3FG8RMaR5KC5Ek2RdQ" TargetMode="External"/><Relationship Id="rId74" Type="http://schemas.openxmlformats.org/officeDocument/2006/relationships/hyperlink" Target="https://en.wikipedia.org/wiki/Beyondless" TargetMode="External"/><Relationship Id="rId128" Type="http://schemas.openxmlformats.org/officeDocument/2006/relationships/hyperlink" Target="https://www.reddit.com/r/indieheads/comments/nrffuw/top_ten_thursday_jay_som/" TargetMode="External"/><Relationship Id="rId5" Type="http://schemas.openxmlformats.org/officeDocument/2006/relationships/hyperlink" Target="https://open.spotify.com/playlist/5o0kGqKeUNcMfXCT1US8gd?si=d0d8376edb204390" TargetMode="External"/><Relationship Id="rId181" Type="http://schemas.openxmlformats.org/officeDocument/2006/relationships/hyperlink" Target="https://open.spotify.com/playlist/38557HRqV71blTbdCTvETE?si=GOM8U4k9SECZFSBk0BWpGA" TargetMode="External"/><Relationship Id="rId237" Type="http://schemas.openxmlformats.org/officeDocument/2006/relationships/hyperlink" Target="https://en.wikipedia.org/wiki/Norman_Fucking_Rockwell!" TargetMode="External"/><Relationship Id="rId279" Type="http://schemas.openxmlformats.org/officeDocument/2006/relationships/hyperlink" Target="https://www.reddit.com/r/indieheads/comments/rlfxjj/top_ten_tuesday_liz_phair/" TargetMode="External"/><Relationship Id="rId43" Type="http://schemas.openxmlformats.org/officeDocument/2006/relationships/hyperlink" Target="https://open.spotify.com/playlist/4QsbAX5PVvcjVpVGHRIplV?si=f4026f4404ab4714" TargetMode="External"/><Relationship Id="rId139" Type="http://schemas.openxmlformats.org/officeDocument/2006/relationships/hyperlink" Target="https://open.spotify.com/playlist/7aO32mH4NUe82SC1MJWv87?si=Zn5WNAxvQWWuLR9ZYxwbDQ" TargetMode="External"/><Relationship Id="rId290" Type="http://schemas.openxmlformats.org/officeDocument/2006/relationships/hyperlink" Target="https://open.spotify.com/playlist/4rEklO0G4tJB7F9UEbY4Ij?si=sIVogKI1TSuWzwzvqNxcGg" TargetMode="External"/><Relationship Id="rId304" Type="http://schemas.openxmlformats.org/officeDocument/2006/relationships/hyperlink" Target="https://en.wikipedia.org/wiki/Berlin_(Lou_Reed_album)" TargetMode="External"/><Relationship Id="rId85" Type="http://schemas.openxmlformats.org/officeDocument/2006/relationships/hyperlink" Target="https://en.wikipedia.org/wiki/Joy_as_an_Act_of_Resistance" TargetMode="External"/><Relationship Id="rId150" Type="http://schemas.openxmlformats.org/officeDocument/2006/relationships/hyperlink" Target="https://en.wikipedia.org/wiki/Apocalypse,_Girl" TargetMode="External"/><Relationship Id="rId192" Type="http://schemas.openxmlformats.org/officeDocument/2006/relationships/hyperlink" Target="https://open.spotify.com/user/swik12/playlist/6YDU2RbSyFCUbXlgQPmzyK?si=YkZg1F3nRW-DNOSB8H6Y7Q" TargetMode="External"/><Relationship Id="rId206" Type="http://schemas.openxmlformats.org/officeDocument/2006/relationships/hyperlink" Target="https://www.reddit.com/r/indieheads/comments/nkv55e/top_ten_tuesday_kevin_morby/" TargetMode="External"/><Relationship Id="rId248" Type="http://schemas.openxmlformats.org/officeDocument/2006/relationships/hyperlink" Target="https://en.wikipedia.org/wiki/I_Speak_Because_I_Can" TargetMode="External"/><Relationship Id="rId12" Type="http://schemas.openxmlformats.org/officeDocument/2006/relationships/hyperlink" Target="https://en.wikipedia.org/wiki/How_to_Be_a_Human_Being" TargetMode="External"/><Relationship Id="rId108" Type="http://schemas.openxmlformats.org/officeDocument/2006/relationships/hyperlink" Target="https://en.wikipedia.org/wiki/Dirty_Computer" TargetMode="External"/><Relationship Id="rId315" Type="http://schemas.openxmlformats.org/officeDocument/2006/relationships/hyperlink" Target="https://en.wikipedia.org/wiki/Home_Video_(album)" TargetMode="External"/><Relationship Id="rId54" Type="http://schemas.openxmlformats.org/officeDocument/2006/relationships/hyperlink" Target="https://www.reddit.com/r/indieheads/comments/hecdpq/top_ten_tuesday_have_a_nice_life/" TargetMode="External"/><Relationship Id="rId96" Type="http://schemas.openxmlformats.org/officeDocument/2006/relationships/hyperlink" Target="https://open.spotify.com/playlist/3bRisLULMcod22a1gr9d4Z?si=3ea7339b1e06436e" TargetMode="External"/><Relationship Id="rId161" Type="http://schemas.openxmlformats.org/officeDocument/2006/relationships/hyperlink" Target="https://en.wikipedia.org/wiki/Clarity_(Jimmy_Eat_World_album)" TargetMode="External"/><Relationship Id="rId217" Type="http://schemas.openxmlformats.org/officeDocument/2006/relationships/hyperlink" Target="https://www.reddit.com/r/indieheads/comments/113t29c/redo_thursday_king_gizzard_and_the_lizard_wizard/?utm_source=share&amp;utm_medium=ios_app&amp;utm_name=iossmf" TargetMode="External"/><Relationship Id="rId259" Type="http://schemas.openxmlformats.org/officeDocument/2006/relationships/hyperlink" Target="https://en.wikipedia.org/wiki/WIXIW" TargetMode="External"/><Relationship Id="rId23" Type="http://schemas.openxmlformats.org/officeDocument/2006/relationships/hyperlink" Target="https://en.wikipedia.org/wiki/Tallulah_(The_Go-Betweens_album)" TargetMode="External"/><Relationship Id="rId119" Type="http://schemas.openxmlformats.org/officeDocument/2006/relationships/hyperlink" Target="https://en.wikipedia.org/wiki/Psychopomp_(album)" TargetMode="External"/><Relationship Id="rId270" Type="http://schemas.openxmlformats.org/officeDocument/2006/relationships/hyperlink" Target="https://en.wikipedia.org/wiki/Wonderful_Rainbow" TargetMode="External"/><Relationship Id="rId65" Type="http://schemas.openxmlformats.org/officeDocument/2006/relationships/hyperlink" Target="https://en.wikipedia.org/wiki/Deathconsciousness" TargetMode="External"/><Relationship Id="rId130" Type="http://schemas.openxmlformats.org/officeDocument/2006/relationships/hyperlink" Target="https://en.wikipedia.org/wiki/Anak_Ko" TargetMode="External"/><Relationship Id="rId172" Type="http://schemas.openxmlformats.org/officeDocument/2006/relationships/hyperlink" Target="https://en.wikipedia.org/wiki/Hejira_(album)" TargetMode="External"/><Relationship Id="rId193" Type="http://schemas.openxmlformats.org/officeDocument/2006/relationships/hyperlink" Target="https://www.reddit.com/r/indieheads/comments/xpdjvu/top_ten_tuesday_julien_baker/?utm_source=share&amp;utm_medium=ios_app&amp;utm_name=iossmf" TargetMode="External"/><Relationship Id="rId207" Type="http://schemas.openxmlformats.org/officeDocument/2006/relationships/hyperlink" Target="https://open.spotify.com/playlist/4RXXwyzLXiLZH3wfh9L6tX?si=c8c44855490d4e0e" TargetMode="External"/><Relationship Id="rId228" Type="http://schemas.openxmlformats.org/officeDocument/2006/relationships/hyperlink" Target="https://en.wikipedia.org/wiki/Man_Alive!_(King_Krule_album)" TargetMode="External"/><Relationship Id="rId249" Type="http://schemas.openxmlformats.org/officeDocument/2006/relationships/hyperlink" Target="https://en.wikipedia.org/wiki/I_Speak_Because_I_Can" TargetMode="External"/><Relationship Id="rId13" Type="http://schemas.openxmlformats.org/officeDocument/2006/relationships/hyperlink" Target="https://en.wikipedia.org/wiki/How_to_Be_a_Human_Being" TargetMode="External"/><Relationship Id="rId109" Type="http://schemas.openxmlformats.org/officeDocument/2006/relationships/hyperlink" Target="https://en.wikipedia.org/wiki/The_Electric_Lady" TargetMode="External"/><Relationship Id="rId260" Type="http://schemas.openxmlformats.org/officeDocument/2006/relationships/hyperlink" Target="https://en.wikipedia.org/wiki/Mess_(Liars_album)" TargetMode="External"/><Relationship Id="rId281" Type="http://schemas.openxmlformats.org/officeDocument/2006/relationships/hyperlink" Target="https://en.wikipedia.org/wiki/Exile_in_Guyville" TargetMode="External"/><Relationship Id="rId316" Type="http://schemas.openxmlformats.org/officeDocument/2006/relationships/hyperlink" Target="https://en.wikipedia.org/wiki/Historian_(album)" TargetMode="External"/><Relationship Id="rId34" Type="http://schemas.openxmlformats.org/officeDocument/2006/relationships/hyperlink" Target="https://en.wikipedia.org/wiki/A_I_A:_Alien_Observer" TargetMode="External"/><Relationship Id="rId55" Type="http://schemas.openxmlformats.org/officeDocument/2006/relationships/hyperlink" Target="https://open.spotify.com/playlist/4kIkG7f610jIkinWPjgse1?si=4qWIgWSFRC2DK5mFT3crjA" TargetMode="External"/><Relationship Id="rId76" Type="http://schemas.openxmlformats.org/officeDocument/2006/relationships/hyperlink" Target="https://en.wikipedia.org/wiki/Plowing_Into_the_Field_of_Love" TargetMode="External"/><Relationship Id="rId97" Type="http://schemas.openxmlformats.org/officeDocument/2006/relationships/hyperlink" Target="https://en.wikipedia.org/wiki/By_the_Time_I_Get_to_Phoenix_(Injury_Reserve_album)" TargetMode="External"/><Relationship Id="rId120" Type="http://schemas.openxmlformats.org/officeDocument/2006/relationships/hyperlink" Target="https://en.wikipedia.org/wiki/Soft_Sounds_from_Another_Planet" TargetMode="External"/><Relationship Id="rId141" Type="http://schemas.openxmlformats.org/officeDocument/2006/relationships/hyperlink" Target="https://www.reddit.com/r/indieheads/comments/l5e0vx/top_ten_tuesday_jenny_hval/" TargetMode="External"/><Relationship Id="rId7" Type="http://schemas.openxmlformats.org/officeDocument/2006/relationships/hyperlink" Target="https://en.wikipedia.org/wiki/How_to_Be_a_Human_Being" TargetMode="External"/><Relationship Id="rId162" Type="http://schemas.openxmlformats.org/officeDocument/2006/relationships/hyperlink" Target="https://en.wikipedia.org/wiki/Clarity_(Jimmy_Eat_World_album)" TargetMode="External"/><Relationship Id="rId183" Type="http://schemas.openxmlformats.org/officeDocument/2006/relationships/hyperlink" Target="https://www.reddit.com/r/indieheads/comments/pf677f/top_ten_tuesday_jpegmafia/" TargetMode="External"/><Relationship Id="rId218" Type="http://schemas.openxmlformats.org/officeDocument/2006/relationships/hyperlink" Target="https://www.reddit.com/r/indieheads/comments/hv5at0/top_ten_tuesday_king_krule/" TargetMode="External"/><Relationship Id="rId239" Type="http://schemas.openxmlformats.org/officeDocument/2006/relationships/hyperlink" Target="https://en.wikipedia.org/wiki/Ultraviolence_(album)" TargetMode="External"/><Relationship Id="rId250" Type="http://schemas.openxmlformats.org/officeDocument/2006/relationships/hyperlink" Target="https://en.wikipedia.org/wiki/Semper_Femina" TargetMode="External"/><Relationship Id="rId271" Type="http://schemas.openxmlformats.org/officeDocument/2006/relationships/hyperlink" Target="https://en.wikipedia.org/wiki/Wonderful_Rainbow" TargetMode="External"/><Relationship Id="rId292" Type="http://schemas.openxmlformats.org/officeDocument/2006/relationships/hyperlink" Target="https://open.spotify.com/user/swik12/playlist/7gkUQrqRs9vk5JZ8scz6Dt?si=sqqXCk63S6KVvLyKgdZB8Q" TargetMode="External"/><Relationship Id="rId306" Type="http://schemas.openxmlformats.org/officeDocument/2006/relationships/hyperlink" Target="https://www.reddit.com/r/indieheads/comments/u1xnoe/top_ten_tuesday_lucy_dacus/" TargetMode="External"/><Relationship Id="rId24" Type="http://schemas.openxmlformats.org/officeDocument/2006/relationships/hyperlink" Target="https://en.wikipedia.org/wiki/Tallulah_(The_Go-Betweens_album)" TargetMode="External"/><Relationship Id="rId45" Type="http://schemas.openxmlformats.org/officeDocument/2006/relationships/hyperlink" Target="https://en.wikipedia.org/wiki/Days_Are_Gone" TargetMode="External"/><Relationship Id="rId66" Type="http://schemas.openxmlformats.org/officeDocument/2006/relationships/hyperlink" Target="https://open.spotify.com/playlist/29dxiXBePd391KV5QO3PIO?si=KVgYyTBIQJeYw0Ip2_Hw5g" TargetMode="External"/><Relationship Id="rId87" Type="http://schemas.openxmlformats.org/officeDocument/2006/relationships/hyperlink" Target="https://en.wikipedia.org/wiki/Joy_as_an_Act_of_Resistance" TargetMode="External"/><Relationship Id="rId110" Type="http://schemas.openxmlformats.org/officeDocument/2006/relationships/hyperlink" Target="https://en.wikipedia.org/wiki/The_ArchAndroid" TargetMode="External"/><Relationship Id="rId131" Type="http://schemas.openxmlformats.org/officeDocument/2006/relationships/hyperlink" Target="https://en.wikipedia.org/wiki/Everybody_Works" TargetMode="External"/><Relationship Id="rId152" Type="http://schemas.openxmlformats.org/officeDocument/2006/relationships/hyperlink" Target="https://en.wikipedia.org/wiki/Blood_Bitch" TargetMode="External"/><Relationship Id="rId173" Type="http://schemas.openxmlformats.org/officeDocument/2006/relationships/hyperlink" Target="https://en.wikipedia.org/wiki/Blue_(Joni_Mitchell_album)" TargetMode="External"/><Relationship Id="rId194" Type="http://schemas.openxmlformats.org/officeDocument/2006/relationships/hyperlink" Target="https://www.reddit.com/r/indieheads/comments/qv7gag/top_ten_tuesday_kero_kero_bonito/" TargetMode="External"/><Relationship Id="rId208" Type="http://schemas.openxmlformats.org/officeDocument/2006/relationships/hyperlink" Target="https://en.wikipedia.org/wiki/City_Music" TargetMode="External"/><Relationship Id="rId229" Type="http://schemas.openxmlformats.org/officeDocument/2006/relationships/hyperlink" Target="https://en.wikipedia.org/wiki/Man_Alive!_(King_Krule_album)" TargetMode="External"/><Relationship Id="rId240" Type="http://schemas.openxmlformats.org/officeDocument/2006/relationships/hyperlink" Target="https://en.wikipedia.org/wiki/Norman_Fucking_Rockwell!" TargetMode="External"/><Relationship Id="rId261" Type="http://schemas.openxmlformats.org/officeDocument/2006/relationships/hyperlink" Target="https://en.wikipedia.org/wiki/Mess_(Liars_album)" TargetMode="External"/><Relationship Id="rId14" Type="http://schemas.openxmlformats.org/officeDocument/2006/relationships/hyperlink" Target="https://en.wikipedia.org/wiki/Zaba_(album)" TargetMode="External"/><Relationship Id="rId35" Type="http://schemas.openxmlformats.org/officeDocument/2006/relationships/hyperlink" Target="https://en.wikipedia.org/wiki/Ruins_(Grouper_album)" TargetMode="External"/><Relationship Id="rId56" Type="http://schemas.openxmlformats.org/officeDocument/2006/relationships/hyperlink" Target="https://en.wikipedia.org/wiki/Deathconsciousness" TargetMode="External"/><Relationship Id="rId77" Type="http://schemas.openxmlformats.org/officeDocument/2006/relationships/hyperlink" Target="https://en.wikipedia.org/wiki/Plowing_Into_the_Field_of_Love" TargetMode="External"/><Relationship Id="rId100" Type="http://schemas.openxmlformats.org/officeDocument/2006/relationships/hyperlink" Target="https://en.wikipedia.org/wiki/Injury_Reserve_(album)" TargetMode="External"/><Relationship Id="rId282" Type="http://schemas.openxmlformats.org/officeDocument/2006/relationships/hyperlink" Target="https://en.wikipedia.org/wiki/Exile_in_Guyville" TargetMode="External"/><Relationship Id="rId8" Type="http://schemas.openxmlformats.org/officeDocument/2006/relationships/hyperlink" Target="https://en.wikipedia.org/wiki/Zaba_(album)" TargetMode="External"/><Relationship Id="rId98" Type="http://schemas.openxmlformats.org/officeDocument/2006/relationships/hyperlink" Target="https://en.wikipedia.org/wiki/By_the_Time_I_Get_to_Phoenix_(Injury_Reserve_album)" TargetMode="External"/><Relationship Id="rId121" Type="http://schemas.openxmlformats.org/officeDocument/2006/relationships/hyperlink" Target="https://en.wikipedia.org/wiki/Soft_Sounds_from_Another_Planet" TargetMode="External"/><Relationship Id="rId142" Type="http://schemas.openxmlformats.org/officeDocument/2006/relationships/hyperlink" Target="https://open.spotify.com/playlist/2zd7h939HLLzxwqfInaFJX?si=OKnNpeGwRuSdSwiPwUM6nA" TargetMode="External"/><Relationship Id="rId163" Type="http://schemas.openxmlformats.org/officeDocument/2006/relationships/hyperlink" Target="https://en.wikipedia.org/wiki/Bleed_American" TargetMode="External"/><Relationship Id="rId184" Type="http://schemas.openxmlformats.org/officeDocument/2006/relationships/hyperlink" Target="https://open.spotify.com/playlist/4HktbNPvLwGF8vlPof5r6J?si=0ffe220d8b4a4297" TargetMode="External"/><Relationship Id="rId219" Type="http://schemas.openxmlformats.org/officeDocument/2006/relationships/hyperlink" Target="https://open.spotify.com/playlist/0tqQto3HkY2Qx5Q8S6Nnn8?si=uZ6EELq3RV6TpXT63W4bTw" TargetMode="External"/><Relationship Id="rId230" Type="http://schemas.openxmlformats.org/officeDocument/2006/relationships/hyperlink" Target="https://open.spotify.com/user/swik12/playlist/4jRVvEoWbi0hcEb07CAcUQ?si=CWEzov5oT6Chdk1MKb2Fng" TargetMode="External"/><Relationship Id="rId251" Type="http://schemas.openxmlformats.org/officeDocument/2006/relationships/hyperlink" Target="https://en.wikipedia.org/wiki/Song_for_Our_Daughter" TargetMode="External"/><Relationship Id="rId25" Type="http://schemas.openxmlformats.org/officeDocument/2006/relationships/hyperlink" Target="https://en.wikipedia.org/wiki/16_Lovers_Lane" TargetMode="External"/><Relationship Id="rId46" Type="http://schemas.openxmlformats.org/officeDocument/2006/relationships/hyperlink" Target="https://en.wikipedia.org/wiki/Women_in_Music_Pt._III" TargetMode="External"/><Relationship Id="rId67" Type="http://schemas.openxmlformats.org/officeDocument/2006/relationships/hyperlink" Target="https://open.spotify.com/playlist/7zvRLrg4zPXYAQvVluyLWT?si=KvqqwyzmTEWTsvVPHhfbww" TargetMode="External"/><Relationship Id="rId272" Type="http://schemas.openxmlformats.org/officeDocument/2006/relationships/hyperlink" Target="https://en.wikipedia.org/wiki/Wonderful_Rainbow" TargetMode="External"/><Relationship Id="rId293" Type="http://schemas.openxmlformats.org/officeDocument/2006/relationships/hyperlink" Target="https://www.reddit.com/r/indieheads/comments/x77qtd/top_ten_tuesday_lou_reed/?utm_source=share&amp;utm_medium=web2x&amp;context=3" TargetMode="External"/><Relationship Id="rId307" Type="http://schemas.openxmlformats.org/officeDocument/2006/relationships/hyperlink" Target="https://open.spotify.com/playlist/6wI89c5Yqw4ClcTCcgMw3J?si=d8ac31e76f3446b6" TargetMode="External"/><Relationship Id="rId88" Type="http://schemas.openxmlformats.org/officeDocument/2006/relationships/hyperlink" Target="https://en.wikipedia.org/wiki/Joy_as_an_Act_of_Resistance" TargetMode="External"/><Relationship Id="rId111" Type="http://schemas.openxmlformats.org/officeDocument/2006/relationships/hyperlink" Target="https://en.wikipedia.org/wiki/The_ArchAndroid" TargetMode="External"/><Relationship Id="rId132" Type="http://schemas.openxmlformats.org/officeDocument/2006/relationships/hyperlink" Target="https://en.wikipedia.org/wiki/Everybody_Works" TargetMode="External"/><Relationship Id="rId153" Type="http://schemas.openxmlformats.org/officeDocument/2006/relationships/hyperlink" Target="https://open.spotify.com/user/swik12/playlist/00dHb0d4D2d7SuDvKvbn87?si=A_hBa0jfQ1mV-yGdWU03oQ" TargetMode="External"/><Relationship Id="rId174" Type="http://schemas.openxmlformats.org/officeDocument/2006/relationships/hyperlink" Target="https://en.wikipedia.org/wiki/Court_and_Spark" TargetMode="External"/><Relationship Id="rId195" Type="http://schemas.openxmlformats.org/officeDocument/2006/relationships/hyperlink" Target="https://open.spotify.com/playlist/5i8EoC9OTaXSrK5MXSIJVV?si=1bbdcce0ef204174" TargetMode="External"/><Relationship Id="rId209" Type="http://schemas.openxmlformats.org/officeDocument/2006/relationships/hyperlink" Target="https://en.wikipedia.org/wiki/Singing_Saw_(album)" TargetMode="External"/><Relationship Id="rId220" Type="http://schemas.openxmlformats.org/officeDocument/2006/relationships/hyperlink" Target="https://en.wikipedia.org/wiki/The_Ooz" TargetMode="External"/><Relationship Id="rId241" Type="http://schemas.openxmlformats.org/officeDocument/2006/relationships/hyperlink" Target="https://en.wikipedia.org/wiki/Ultraviolence_(album)" TargetMode="External"/><Relationship Id="rId15" Type="http://schemas.openxmlformats.org/officeDocument/2006/relationships/hyperlink" Target="https://en.wikipedia.org/wiki/How_to_Be_a_Human_Being" TargetMode="External"/><Relationship Id="rId36" Type="http://schemas.openxmlformats.org/officeDocument/2006/relationships/hyperlink" Target="https://en.wikipedia.org/wiki/Ruins_(Grouper_album)" TargetMode="External"/><Relationship Id="rId57" Type="http://schemas.openxmlformats.org/officeDocument/2006/relationships/hyperlink" Target="https://en.wikipedia.org/wiki/Deathconsciousness" TargetMode="External"/><Relationship Id="rId262" Type="http://schemas.openxmlformats.org/officeDocument/2006/relationships/hyperlink" Target="https://en.wikipedia.org/wiki/Liars_(Liars_album)" TargetMode="External"/><Relationship Id="rId283" Type="http://schemas.openxmlformats.org/officeDocument/2006/relationships/hyperlink" Target="https://en.wikipedia.org/wiki/Exile_in_Guyville" TargetMode="External"/><Relationship Id="rId78" Type="http://schemas.openxmlformats.org/officeDocument/2006/relationships/hyperlink" Target="https://en.wikipedia.org/wiki/Plowing_Into_the_Field_of_Love" TargetMode="External"/><Relationship Id="rId99" Type="http://schemas.openxmlformats.org/officeDocument/2006/relationships/hyperlink" Target="https://en.wikipedia.org/wiki/Injury_Reserve_(album)" TargetMode="External"/><Relationship Id="rId101" Type="http://schemas.openxmlformats.org/officeDocument/2006/relationships/hyperlink" Target="https://en.wikipedia.org/wiki/By_the_Time_I_Get_to_Phoenix_(Injury_Reserve_album)" TargetMode="External"/><Relationship Id="rId122" Type="http://schemas.openxmlformats.org/officeDocument/2006/relationships/hyperlink" Target="https://en.wikipedia.org/wiki/Jubilee_(Japanese_Breakfast_album)" TargetMode="External"/><Relationship Id="rId143" Type="http://schemas.openxmlformats.org/officeDocument/2006/relationships/hyperlink" Target="https://en.wikipedia.org/wiki/Blood_Bitch" TargetMode="External"/><Relationship Id="rId164" Type="http://schemas.openxmlformats.org/officeDocument/2006/relationships/hyperlink" Target="https://en.wikipedia.org/wiki/Futures_(album)" TargetMode="External"/><Relationship Id="rId185" Type="http://schemas.openxmlformats.org/officeDocument/2006/relationships/hyperlink" Target="https://en.wikipedia.org/wiki/Veteran_(JPEGMafia_album)" TargetMode="External"/><Relationship Id="rId9" Type="http://schemas.openxmlformats.org/officeDocument/2006/relationships/hyperlink" Target="https://en.wikipedia.org/wiki/Zaba_(album)" TargetMode="External"/><Relationship Id="rId210" Type="http://schemas.openxmlformats.org/officeDocument/2006/relationships/hyperlink" Target="https://en.wikipedia.org/wiki/Still_Life_(Kevin_Morby_album)" TargetMode="External"/><Relationship Id="rId26" Type="http://schemas.openxmlformats.org/officeDocument/2006/relationships/hyperlink" Target="https://en.wikipedia.org/wiki/16_Lovers_Lane" TargetMode="External"/><Relationship Id="rId231" Type="http://schemas.openxmlformats.org/officeDocument/2006/relationships/hyperlink" Target="https://www.reddit.com/r/indieheads/comments/gzkore/top_ten_tuesday_lana_del_rey/" TargetMode="External"/><Relationship Id="rId252" Type="http://schemas.openxmlformats.org/officeDocument/2006/relationships/hyperlink" Target="https://en.wikipedia.org/wiki/Short_Movie" TargetMode="External"/><Relationship Id="rId273" Type="http://schemas.openxmlformats.org/officeDocument/2006/relationships/hyperlink" Target="https://en.wikipedia.org/wiki/Earthly_Delights_(album)" TargetMode="External"/><Relationship Id="rId294" Type="http://schemas.openxmlformats.org/officeDocument/2006/relationships/hyperlink" Target="https://open.spotify.com/playlist/69qTLdw2AeJazNRDTWC1jQ?si=33ddcd88111348bc" TargetMode="External"/><Relationship Id="rId308" Type="http://schemas.openxmlformats.org/officeDocument/2006/relationships/hyperlink" Target="https://en.wikipedia.org/wiki/Historian_(album)" TargetMode="External"/><Relationship Id="rId47" Type="http://schemas.openxmlformats.org/officeDocument/2006/relationships/hyperlink" Target="https://en.wikipedia.org/wiki/Women_in_Music_Pt._III" TargetMode="External"/><Relationship Id="rId68" Type="http://schemas.openxmlformats.org/officeDocument/2006/relationships/hyperlink" Target="https://www.reddit.com/r/indieheads/comments/9mot3n/top_ten_tuesday_h%C3%BCsker_d%C3%BC/" TargetMode="External"/><Relationship Id="rId89" Type="http://schemas.openxmlformats.org/officeDocument/2006/relationships/hyperlink" Target="https://en.wikipedia.org/wiki/Joy_as_an_Act_of_Resistance" TargetMode="External"/><Relationship Id="rId112" Type="http://schemas.openxmlformats.org/officeDocument/2006/relationships/hyperlink" Target="https://en.wikipedia.org/wiki/Dirty_Computer" TargetMode="External"/><Relationship Id="rId133" Type="http://schemas.openxmlformats.org/officeDocument/2006/relationships/hyperlink" Target="https://en.wikipedia.org/wiki/Anak_Ko" TargetMode="External"/><Relationship Id="rId154" Type="http://schemas.openxmlformats.org/officeDocument/2006/relationships/hyperlink" Target="https://www.reddit.com/r/indieheads/comments/xvet98/top_ten_tuesday_jessie_ware/" TargetMode="External"/><Relationship Id="rId175" Type="http://schemas.openxmlformats.org/officeDocument/2006/relationships/hyperlink" Target="https://en.wikipedia.org/wiki/Clouds_(Joni_Mitchell_album)" TargetMode="External"/><Relationship Id="rId196" Type="http://schemas.openxmlformats.org/officeDocument/2006/relationships/hyperlink" Target="https://en.wikipedia.org/wiki/Time_%27n%27_Place" TargetMode="External"/><Relationship Id="rId200" Type="http://schemas.openxmlformats.org/officeDocument/2006/relationships/hyperlink" Target="https://en.wikipedia.org/wiki/Time_%27n%27_Place" TargetMode="External"/><Relationship Id="rId16" Type="http://schemas.openxmlformats.org/officeDocument/2006/relationships/hyperlink" Target="https://www.reddit.com/r/indieheads/comments/yd3v1c/top_ten_tuesday_the_go_team/?utm_source=share&amp;utm_medium=ios_app&amp;utm_name=iossmf" TargetMode="External"/><Relationship Id="rId221" Type="http://schemas.openxmlformats.org/officeDocument/2006/relationships/hyperlink" Target="https://en.wikipedia.org/wiki/6_Feet_Beneath_the_Moon" TargetMode="External"/><Relationship Id="rId242" Type="http://schemas.openxmlformats.org/officeDocument/2006/relationships/hyperlink" Target="https://en.wikipedia.org/wiki/Born_to_Die" TargetMode="External"/><Relationship Id="rId263" Type="http://schemas.openxmlformats.org/officeDocument/2006/relationships/hyperlink" Target="https://en.wikipedia.org/wiki/They_Threw_Us_All_in_a_Trench_and_Stuck_a_Monument_on_Top" TargetMode="External"/><Relationship Id="rId284" Type="http://schemas.openxmlformats.org/officeDocument/2006/relationships/hyperlink" Target="https://en.wikipedia.org/wiki/Exile_in_Guyville" TargetMode="External"/><Relationship Id="rId37" Type="http://schemas.openxmlformats.org/officeDocument/2006/relationships/hyperlink" Target="https://en.wikipedia.org/wiki/A_I_A:_Alien_Observer" TargetMode="External"/><Relationship Id="rId58" Type="http://schemas.openxmlformats.org/officeDocument/2006/relationships/hyperlink" Target="https://en.wikipedia.org/wiki/Deathconsciousness" TargetMode="External"/><Relationship Id="rId79" Type="http://schemas.openxmlformats.org/officeDocument/2006/relationships/hyperlink" Target="https://en.wikipedia.org/wiki/Beyondless" TargetMode="External"/><Relationship Id="rId102" Type="http://schemas.openxmlformats.org/officeDocument/2006/relationships/hyperlink" Target="https://en.wikipedia.org/wiki/By_the_Time_I_Get_to_Phoenix_(Injury_Reserve_album)" TargetMode="External"/><Relationship Id="rId123" Type="http://schemas.openxmlformats.org/officeDocument/2006/relationships/hyperlink" Target="https://en.wikipedia.org/wiki/Psychopomp_(album)" TargetMode="External"/><Relationship Id="rId144" Type="http://schemas.openxmlformats.org/officeDocument/2006/relationships/hyperlink" Target="https://en.wikipedia.org/wiki/Apocalypse,_Girl" TargetMode="External"/><Relationship Id="rId90" Type="http://schemas.openxmlformats.org/officeDocument/2006/relationships/hyperlink" Target="https://en.wikipedia.org/wiki/Brutalism_(Idles_album)" TargetMode="External"/><Relationship Id="rId165" Type="http://schemas.openxmlformats.org/officeDocument/2006/relationships/hyperlink" Target="https://en.wikipedia.org/wiki/Clarity_(Jimmy_Eat_World_album)" TargetMode="External"/><Relationship Id="rId186" Type="http://schemas.openxmlformats.org/officeDocument/2006/relationships/hyperlink" Target="https://en.wikipedia.org/wiki/All_My_Heroes_Are_Cornballs" TargetMode="External"/><Relationship Id="rId211" Type="http://schemas.openxmlformats.org/officeDocument/2006/relationships/hyperlink" Target="https://en.wikipedia.org/wiki/Harlem_River_(album)" TargetMode="External"/><Relationship Id="rId232" Type="http://schemas.openxmlformats.org/officeDocument/2006/relationships/hyperlink" Target="https://open.spotify.com/playlist/3Z2dDz4icsmICjnf1o70Gy?si=Lx5H83kHScKCtazoF5Zy8A" TargetMode="External"/><Relationship Id="rId253" Type="http://schemas.openxmlformats.org/officeDocument/2006/relationships/hyperlink" Target="https://en.wikipedia.org/wiki/A_Creature_I_Don%27t_Know" TargetMode="External"/><Relationship Id="rId274" Type="http://schemas.openxmlformats.org/officeDocument/2006/relationships/hyperlink" Target="https://en.wikipedia.org/wiki/Hypermagic_Mountain" TargetMode="External"/><Relationship Id="rId295" Type="http://schemas.openxmlformats.org/officeDocument/2006/relationships/hyperlink" Target="https://en.wikipedia.org/wiki/Street_Hassle" TargetMode="External"/><Relationship Id="rId309" Type="http://schemas.openxmlformats.org/officeDocument/2006/relationships/hyperlink" Target="https://en.wikipedia.org/wiki/Home_Video_(album)" TargetMode="External"/><Relationship Id="rId27" Type="http://schemas.openxmlformats.org/officeDocument/2006/relationships/hyperlink" Target="https://en.wikipedia.org/wiki/Liberty_Belle_and_the_Black_Diamond_Express" TargetMode="External"/><Relationship Id="rId48" Type="http://schemas.openxmlformats.org/officeDocument/2006/relationships/hyperlink" Target="https://en.wikipedia.org/wiki/Days_Are_Gone" TargetMode="External"/><Relationship Id="rId69" Type="http://schemas.openxmlformats.org/officeDocument/2006/relationships/hyperlink" Target="https://open.spotify.com/user/swik12/playlist/2F176GzG4dzLby7c5HgfP6?si=RdqT8DAyTw-n_vt40JmXEQ" TargetMode="External"/><Relationship Id="rId113" Type="http://schemas.openxmlformats.org/officeDocument/2006/relationships/hyperlink" Target="https://en.wikipedia.org/wiki/The_Electric_Lady" TargetMode="External"/><Relationship Id="rId134" Type="http://schemas.openxmlformats.org/officeDocument/2006/relationships/hyperlink" Target="https://en.wikipedia.org/wiki/Anak_Ko" TargetMode="External"/><Relationship Id="rId80" Type="http://schemas.openxmlformats.org/officeDocument/2006/relationships/hyperlink" Target="https://en.wikipedia.org/wiki/Plowing_Into_the_Field_of_Love" TargetMode="External"/><Relationship Id="rId155" Type="http://schemas.openxmlformats.org/officeDocument/2006/relationships/hyperlink" Target="https://open.spotify.com/user/swik12/playlist/7uVoOXIRxWYORTDl2Jbrg0?si=t45LButJScONUz5P63pr2A" TargetMode="External"/><Relationship Id="rId176" Type="http://schemas.openxmlformats.org/officeDocument/2006/relationships/hyperlink" Target="https://en.wikipedia.org/wiki/Hejira_(album)" TargetMode="External"/><Relationship Id="rId197" Type="http://schemas.openxmlformats.org/officeDocument/2006/relationships/hyperlink" Target="https://en.wikipedia.org/wiki/Civilisation_II" TargetMode="External"/><Relationship Id="rId201" Type="http://schemas.openxmlformats.org/officeDocument/2006/relationships/hyperlink" Target="https://en.wikipedia.org/wiki/Civilisation_II" TargetMode="External"/><Relationship Id="rId222" Type="http://schemas.openxmlformats.org/officeDocument/2006/relationships/hyperlink" Target="https://en.wikipedia.org/wiki/The_Ooz" TargetMode="External"/><Relationship Id="rId243" Type="http://schemas.openxmlformats.org/officeDocument/2006/relationships/hyperlink" Target="https://www.reddit.com/r/indieheads/comments/oo1rwb/top_ten_tuesday_laura_marling/" TargetMode="External"/><Relationship Id="rId264" Type="http://schemas.openxmlformats.org/officeDocument/2006/relationships/hyperlink" Target="https://en.wikipedia.org/wiki/Drum%27s_Not_Dead" TargetMode="External"/><Relationship Id="rId285" Type="http://schemas.openxmlformats.org/officeDocument/2006/relationships/hyperlink" Target="https://en.wikipedia.org/wiki/Exile_in_Guyville" TargetMode="External"/><Relationship Id="rId17" Type="http://schemas.openxmlformats.org/officeDocument/2006/relationships/hyperlink" Target="https://www.reddit.com/r/indieheads/comments/j1wz4h/top_ten_tuesday_the_gobetweens/" TargetMode="External"/><Relationship Id="rId38" Type="http://schemas.openxmlformats.org/officeDocument/2006/relationships/hyperlink" Target="https://en.wikipedia.org/wiki/A_I_A:_Alien_Observer" TargetMode="External"/><Relationship Id="rId59" Type="http://schemas.openxmlformats.org/officeDocument/2006/relationships/hyperlink" Target="https://en.wikipedia.org/wiki/Deathconsciousness" TargetMode="External"/><Relationship Id="rId103" Type="http://schemas.openxmlformats.org/officeDocument/2006/relationships/hyperlink" Target="https://en.wikipedia.org/wiki/By_the_Time_I_Get_to_Phoenix_(Injury_Reserve_album)" TargetMode="External"/><Relationship Id="rId124" Type="http://schemas.openxmlformats.org/officeDocument/2006/relationships/hyperlink" Target="https://en.wikipedia.org/wiki/Jubilee_(Japanese_Breakfast_album)" TargetMode="External"/><Relationship Id="rId310" Type="http://schemas.openxmlformats.org/officeDocument/2006/relationships/hyperlink" Target="https://en.wikipedia.org/wiki/No_Burden" TargetMode="External"/><Relationship Id="rId70" Type="http://schemas.openxmlformats.org/officeDocument/2006/relationships/hyperlink" Target="https://www.reddit.com/r/indieheads/comments/hmscj5/top_ten_tuesday_iceage/" TargetMode="External"/><Relationship Id="rId91" Type="http://schemas.openxmlformats.org/officeDocument/2006/relationships/hyperlink" Target="https://en.wikipedia.org/wiki/Brutalism_(Idles_album)" TargetMode="External"/><Relationship Id="rId145" Type="http://schemas.openxmlformats.org/officeDocument/2006/relationships/hyperlink" Target="https://en.wikipedia.org/wiki/The_Practice_of_Love_(album)" TargetMode="External"/><Relationship Id="rId166" Type="http://schemas.openxmlformats.org/officeDocument/2006/relationships/hyperlink" Target="https://en.wikipedia.org/wiki/Bleed_American" TargetMode="External"/><Relationship Id="rId187" Type="http://schemas.openxmlformats.org/officeDocument/2006/relationships/hyperlink" Target="https://en.wikipedia.org/wiki/Veteran_(JPEGMafia_album)" TargetMode="External"/><Relationship Id="rId1" Type="http://schemas.openxmlformats.org/officeDocument/2006/relationships/hyperlink" Target="https://open.spotify.com/playlist/31gWMcyYkPD6zsiF3FIBl6?si=Jv45DnsiSfiID06GK0jqQA" TargetMode="External"/><Relationship Id="rId212" Type="http://schemas.openxmlformats.org/officeDocument/2006/relationships/hyperlink" Target="https://en.wikipedia.org/wiki/Singing_Saw_(album)" TargetMode="External"/><Relationship Id="rId233" Type="http://schemas.openxmlformats.org/officeDocument/2006/relationships/hyperlink" Target="https://en.wikipedia.org/wiki/Norman_Fucking_Rockwell!" TargetMode="External"/><Relationship Id="rId254" Type="http://schemas.openxmlformats.org/officeDocument/2006/relationships/hyperlink" Target="https://en.wikipedia.org/wiki/Semper_Femina" TargetMode="External"/><Relationship Id="rId28" Type="http://schemas.openxmlformats.org/officeDocument/2006/relationships/hyperlink" Target="https://open.spotify.com/playlist/36aaQfFZTp4gRhELemOgh7?si=yWQdmGJvSvuDbRjwpPS1-Q" TargetMode="External"/><Relationship Id="rId49" Type="http://schemas.openxmlformats.org/officeDocument/2006/relationships/hyperlink" Target="https://en.wikipedia.org/wiki/Women_in_Music_Pt._III" TargetMode="External"/><Relationship Id="rId114" Type="http://schemas.openxmlformats.org/officeDocument/2006/relationships/hyperlink" Target="https://en.wikipedia.org/wiki/The_Electric_Lady" TargetMode="External"/><Relationship Id="rId275" Type="http://schemas.openxmlformats.org/officeDocument/2006/relationships/hyperlink" Target="https://en.wikipedia.org/wiki/Fantasy_Empire" TargetMode="External"/><Relationship Id="rId296" Type="http://schemas.openxmlformats.org/officeDocument/2006/relationships/hyperlink" Target="https://en.wikipedia.org/wiki/Transformer_(Lou_Reed_album)" TargetMode="External"/><Relationship Id="rId300" Type="http://schemas.openxmlformats.org/officeDocument/2006/relationships/hyperlink" Target="https://en.wikipedia.org/wiki/Coney_Island_Baby" TargetMode="External"/><Relationship Id="rId60" Type="http://schemas.openxmlformats.org/officeDocument/2006/relationships/hyperlink" Target="https://en.wikipedia.org/wiki/Deathconsciousness" TargetMode="External"/><Relationship Id="rId81" Type="http://schemas.openxmlformats.org/officeDocument/2006/relationships/hyperlink" Target="https://en.wikipedia.org/wiki/You%27re_Nothing" TargetMode="External"/><Relationship Id="rId135" Type="http://schemas.openxmlformats.org/officeDocument/2006/relationships/hyperlink" Target="https://en.wikipedia.org/wiki/Everybody_Works" TargetMode="External"/><Relationship Id="rId156" Type="http://schemas.openxmlformats.org/officeDocument/2006/relationships/hyperlink" Target="https://www.reddit.com/r/indieheads/comments/p1q36f/top_ten_tuesday_jimmy_eat_world/" TargetMode="External"/><Relationship Id="rId177" Type="http://schemas.openxmlformats.org/officeDocument/2006/relationships/hyperlink" Target="https://en.wikipedia.org/wiki/Blue_(Joni_Mitchell_album)" TargetMode="External"/><Relationship Id="rId198" Type="http://schemas.openxmlformats.org/officeDocument/2006/relationships/hyperlink" Target="https://en.wikipedia.org/wiki/Time_%27n%27_Place" TargetMode="External"/><Relationship Id="rId202" Type="http://schemas.openxmlformats.org/officeDocument/2006/relationships/hyperlink" Target="https://en.wikipedia.org/wiki/Time_%27n%27_Place" TargetMode="External"/><Relationship Id="rId223" Type="http://schemas.openxmlformats.org/officeDocument/2006/relationships/hyperlink" Target="https://en.wikipedia.org/wiki/The_Ooz" TargetMode="External"/><Relationship Id="rId244" Type="http://schemas.openxmlformats.org/officeDocument/2006/relationships/hyperlink" Target="https://open.spotify.com/playlist/7A78haF6jOjGruCEAFIENJ?si=9fce8da7e48545bf" TargetMode="External"/><Relationship Id="rId18" Type="http://schemas.openxmlformats.org/officeDocument/2006/relationships/hyperlink" Target="https://en.wikipedia.org/wiki/16_Lovers_Lane" TargetMode="External"/><Relationship Id="rId39" Type="http://schemas.openxmlformats.org/officeDocument/2006/relationships/hyperlink" Target="https://en.wikipedia.org/wiki/A_I_A:_Alien_Observer" TargetMode="External"/><Relationship Id="rId265" Type="http://schemas.openxmlformats.org/officeDocument/2006/relationships/hyperlink" Target="https://en.wikipedia.org/wiki/Sisterworld" TargetMode="External"/><Relationship Id="rId286" Type="http://schemas.openxmlformats.org/officeDocument/2006/relationships/hyperlink" Target="https://en.wikipedia.org/wiki/Whitechocolatespaceegg" TargetMode="External"/><Relationship Id="rId50" Type="http://schemas.openxmlformats.org/officeDocument/2006/relationships/hyperlink" Target="https://en.wikipedia.org/wiki/Women_in_Music_Pt._III" TargetMode="External"/><Relationship Id="rId104" Type="http://schemas.openxmlformats.org/officeDocument/2006/relationships/hyperlink" Target="https://www.reddit.com/r/indieheads/comments/y8xrsd/redo_thursday_interpol/?utm_source=share&amp;utm_medium=ios_app&amp;utm_name=iossmf" TargetMode="External"/><Relationship Id="rId125" Type="http://schemas.openxmlformats.org/officeDocument/2006/relationships/hyperlink" Target="https://en.wikipedia.org/wiki/Jubilee_(Japanese_Breakfast_album)" TargetMode="External"/><Relationship Id="rId146" Type="http://schemas.openxmlformats.org/officeDocument/2006/relationships/hyperlink" Target="https://rateyourmusic.com/release/ep/jenny-hval/the-long-sleep/" TargetMode="External"/><Relationship Id="rId167" Type="http://schemas.openxmlformats.org/officeDocument/2006/relationships/hyperlink" Target="https://en.wikipedia.org/wiki/Futures_(album)" TargetMode="External"/><Relationship Id="rId188" Type="http://schemas.openxmlformats.org/officeDocument/2006/relationships/hyperlink" Target="https://en.wikipedia.org/wiki/All_My_Heroes_Are_Cornballs" TargetMode="External"/><Relationship Id="rId311" Type="http://schemas.openxmlformats.org/officeDocument/2006/relationships/hyperlink" Target="https://en.wikipedia.org/wiki/Historian_(album)" TargetMode="External"/><Relationship Id="rId71" Type="http://schemas.openxmlformats.org/officeDocument/2006/relationships/hyperlink" Target="https://open.spotify.com/playlist/0iCvtNchHwEEfItaioTt9H?si=PrmiGauCR5G1w7c82dxGOQ" TargetMode="External"/><Relationship Id="rId92" Type="http://schemas.openxmlformats.org/officeDocument/2006/relationships/hyperlink" Target="https://en.wikipedia.org/wiki/Joy_as_an_Act_of_Resistance" TargetMode="External"/><Relationship Id="rId213" Type="http://schemas.openxmlformats.org/officeDocument/2006/relationships/hyperlink" Target="https://en.wikipedia.org/wiki/City_Music" TargetMode="External"/><Relationship Id="rId234" Type="http://schemas.openxmlformats.org/officeDocument/2006/relationships/hyperlink" Target="https://en.wikipedia.org/wiki/Norman_Fucking_Rockwell!" TargetMode="External"/><Relationship Id="rId2" Type="http://schemas.openxmlformats.org/officeDocument/2006/relationships/hyperlink" Target="https://www.reddit.com/r/indieheads/comments/ze83n2/top_ten_tuesday_george_harrison/?utm_source=share&amp;utm_medium=ios_app&amp;utm_name=iossmf" TargetMode="External"/><Relationship Id="rId29" Type="http://schemas.openxmlformats.org/officeDocument/2006/relationships/hyperlink" Target="https://open.spotify.com/user/swik12/playlist/1Si4rjgrVX28XpomeuonaB?si=oop0kpVNRD2Yio4uSSF0hg" TargetMode="External"/><Relationship Id="rId255" Type="http://schemas.openxmlformats.org/officeDocument/2006/relationships/hyperlink" Target="https://www.reddit.com/r/indieheads/comments/rqfxag/top_ten_tuesday_liars/" TargetMode="External"/><Relationship Id="rId276" Type="http://schemas.openxmlformats.org/officeDocument/2006/relationships/hyperlink" Target="https://en.wikipedia.org/wiki/Ride_the_Skies" TargetMode="External"/><Relationship Id="rId297" Type="http://schemas.openxmlformats.org/officeDocument/2006/relationships/hyperlink" Target="https://en.wikipedia.org/wiki/Transformer_(Lou_Reed_album)" TargetMode="External"/><Relationship Id="rId40" Type="http://schemas.openxmlformats.org/officeDocument/2006/relationships/hyperlink" Target="https://en.wikipedia.org/wiki/Ruins_(Grouper_album)" TargetMode="External"/><Relationship Id="rId115" Type="http://schemas.openxmlformats.org/officeDocument/2006/relationships/hyperlink" Target="https://en.wikipedia.org/wiki/The_ArchAndroid" TargetMode="External"/><Relationship Id="rId136" Type="http://schemas.openxmlformats.org/officeDocument/2006/relationships/hyperlink" Target="https://en.wikipedia.org/wiki/Anak_Ko" TargetMode="External"/><Relationship Id="rId157" Type="http://schemas.openxmlformats.org/officeDocument/2006/relationships/hyperlink" Target="https://open.spotify.com/playlist/5LcXw5Np373ib27VVbn86C?si=4851506a3c544750" TargetMode="External"/><Relationship Id="rId178" Type="http://schemas.openxmlformats.org/officeDocument/2006/relationships/hyperlink" Target="https://en.wikipedia.org/wiki/Blue_(Joni_Mitchell_album)" TargetMode="External"/><Relationship Id="rId301" Type="http://schemas.openxmlformats.org/officeDocument/2006/relationships/hyperlink" Target="https://en.wikipedia.org/wiki/New_York_(album)" TargetMode="External"/><Relationship Id="rId61" Type="http://schemas.openxmlformats.org/officeDocument/2006/relationships/hyperlink" Target="https://en.wikipedia.org/wiki/Deathconsciousness" TargetMode="External"/><Relationship Id="rId82" Type="http://schemas.openxmlformats.org/officeDocument/2006/relationships/hyperlink" Target="https://www.reddit.com/r/indieheads/comments/lawcij/top_ten_tuesday_idles/" TargetMode="External"/><Relationship Id="rId199" Type="http://schemas.openxmlformats.org/officeDocument/2006/relationships/hyperlink" Target="https://en.wikipedia.org/wiki/Bonito_Generation" TargetMode="External"/><Relationship Id="rId203" Type="http://schemas.openxmlformats.org/officeDocument/2006/relationships/hyperlink" Target="https://en.wikipedia.org/wiki/Bonito_Generation" TargetMode="External"/><Relationship Id="rId19" Type="http://schemas.openxmlformats.org/officeDocument/2006/relationships/hyperlink" Target="https://en.wikipedia.org/wiki/Liberty_Belle_and_the_Black_Diamond_Express" TargetMode="External"/><Relationship Id="rId224" Type="http://schemas.openxmlformats.org/officeDocument/2006/relationships/hyperlink" Target="https://en.wikipedia.org/wiki/Man_Alive!_(King_Krule_album)" TargetMode="External"/><Relationship Id="rId245" Type="http://schemas.openxmlformats.org/officeDocument/2006/relationships/hyperlink" Target="https://en.wikipedia.org/wiki/A_Creature_I_Don%27t_Know" TargetMode="External"/><Relationship Id="rId266" Type="http://schemas.openxmlformats.org/officeDocument/2006/relationships/hyperlink" Target="https://open.spotify.com/user/swik12/playlist/1RQBPff402zWSGl7rcj9Nn?si=qg64k_aOTnq-hGSOPu7b0g" TargetMode="External"/><Relationship Id="rId287" Type="http://schemas.openxmlformats.org/officeDocument/2006/relationships/hyperlink" Target="https://en.wikipedia.org/wiki/Whip-Smart" TargetMode="External"/><Relationship Id="rId30" Type="http://schemas.openxmlformats.org/officeDocument/2006/relationships/hyperlink" Target="https://www.reddit.com/r/indieheads/comments/10kbzaz/top_ten_tuesday_grateful_dead/?utm_source=share&amp;utm_medium=ios_app&amp;utm_name=iossmf" TargetMode="External"/><Relationship Id="rId105" Type="http://schemas.openxmlformats.org/officeDocument/2006/relationships/hyperlink" Target="https://open.spotify.com/playlist/6FBFHRCVlU4RFqcDu7Ayty?si=052eb3e1c8dc433d" TargetMode="External"/><Relationship Id="rId126" Type="http://schemas.openxmlformats.org/officeDocument/2006/relationships/hyperlink" Target="https://en.wikipedia.org/wiki/Soft_Sounds_from_Another_Planet" TargetMode="External"/><Relationship Id="rId147" Type="http://schemas.openxmlformats.org/officeDocument/2006/relationships/hyperlink" Target="https://en.wikipedia.org/wiki/Blood_Bitch" TargetMode="External"/><Relationship Id="rId168" Type="http://schemas.openxmlformats.org/officeDocument/2006/relationships/hyperlink" Target="https://www.reddit.com/r/indieheads/comments/uwpglm/top_ten_tuesday_jon_hopkins/?utm_source=share&amp;utm_medium=ios_app&amp;utm_name=iossmf" TargetMode="External"/><Relationship Id="rId312" Type="http://schemas.openxmlformats.org/officeDocument/2006/relationships/hyperlink" Target="https://en.wikipedia.org/wiki/Home_Video_(album)" TargetMode="External"/><Relationship Id="rId51" Type="http://schemas.openxmlformats.org/officeDocument/2006/relationships/hyperlink" Target="https://en.wikipedia.org/wiki/Something_to_Tell_You" TargetMode="External"/><Relationship Id="rId72" Type="http://schemas.openxmlformats.org/officeDocument/2006/relationships/hyperlink" Target="https://en.wikipedia.org/wiki/Plowing_Into_the_Field_of_Love" TargetMode="External"/><Relationship Id="rId93" Type="http://schemas.openxmlformats.org/officeDocument/2006/relationships/hyperlink" Target="https://en.wikipedia.org/wiki/Ultra_Mono" TargetMode="External"/><Relationship Id="rId189" Type="http://schemas.openxmlformats.org/officeDocument/2006/relationships/hyperlink" Target="https://en.wikipedia.org/wiki/Veteran_(JPEGMafia_album)" TargetMode="External"/><Relationship Id="rId3" Type="http://schemas.openxmlformats.org/officeDocument/2006/relationships/hyperlink" Target="https://open.spotify.com/user/swik12/playlist/5glu9NN41Cz9Ki9gkfOyu5?si=Ik02Fna_TEu9pRaAIjw67Q" TargetMode="External"/><Relationship Id="rId214" Type="http://schemas.openxmlformats.org/officeDocument/2006/relationships/hyperlink" Target="https://en.wikipedia.org/wiki/Oh_My_God_(album)" TargetMode="External"/><Relationship Id="rId235" Type="http://schemas.openxmlformats.org/officeDocument/2006/relationships/hyperlink" Target="https://en.wikipedia.org/wiki/Ultraviolence_(album)" TargetMode="External"/><Relationship Id="rId256" Type="http://schemas.openxmlformats.org/officeDocument/2006/relationships/hyperlink" Target="https://en.wikipedia.org/wiki/Drum%27s_Not_Dead" TargetMode="External"/><Relationship Id="rId277" Type="http://schemas.openxmlformats.org/officeDocument/2006/relationships/hyperlink" Target="https://en.wikipedia.org/wiki/Ride_the_Skies" TargetMode="External"/><Relationship Id="rId298" Type="http://schemas.openxmlformats.org/officeDocument/2006/relationships/hyperlink" Target="https://en.wikipedia.org/wiki/Transformer_(Lou_Reed_album)" TargetMode="External"/><Relationship Id="rId116" Type="http://schemas.openxmlformats.org/officeDocument/2006/relationships/hyperlink" Target="https://www.reddit.com/r/indieheads/comments/q1vfwo/top_ten_tuesday_japanese_breakfast/" TargetMode="External"/><Relationship Id="rId137" Type="http://schemas.openxmlformats.org/officeDocument/2006/relationships/hyperlink" Target="https://en.wikipedia.org/wiki/Anak_Ko" TargetMode="External"/><Relationship Id="rId158" Type="http://schemas.openxmlformats.org/officeDocument/2006/relationships/hyperlink" Target="https://en.wikipedia.org/wiki/Futures_(album)" TargetMode="External"/><Relationship Id="rId302" Type="http://schemas.openxmlformats.org/officeDocument/2006/relationships/hyperlink" Target="https://en.wikipedia.org/wiki/New_York_(album)" TargetMode="External"/><Relationship Id="rId20" Type="http://schemas.openxmlformats.org/officeDocument/2006/relationships/hyperlink" Target="https://en.wikipedia.org/wiki/16_Lovers_Lane" TargetMode="External"/><Relationship Id="rId41" Type="http://schemas.openxmlformats.org/officeDocument/2006/relationships/hyperlink" Target="https://en.wikipedia.org/wiki/Dragging_a_Dead_Deer_Up_a_Hill" TargetMode="External"/><Relationship Id="rId62" Type="http://schemas.openxmlformats.org/officeDocument/2006/relationships/hyperlink" Target="https://en.wikipedia.org/wiki/Deathconsciousness" TargetMode="External"/><Relationship Id="rId83" Type="http://schemas.openxmlformats.org/officeDocument/2006/relationships/hyperlink" Target="https://open.spotify.com/playlist/0AGzQXzlAWTLSqlMVLOGjf?si=uQxmX86NQ0mvzuEwes2EzQ" TargetMode="External"/><Relationship Id="rId179" Type="http://schemas.openxmlformats.org/officeDocument/2006/relationships/hyperlink" Target="https://en.wikipedia.org/wiki/Hejira_(album)" TargetMode="External"/><Relationship Id="rId190" Type="http://schemas.openxmlformats.org/officeDocument/2006/relationships/hyperlink" Target="https://en.wikipedia.org/wiki/Veteran_(JPEGMafia_album)" TargetMode="External"/><Relationship Id="rId204" Type="http://schemas.openxmlformats.org/officeDocument/2006/relationships/hyperlink" Target="https://en.wikipedia.org/wiki/Bonito_Generation" TargetMode="External"/><Relationship Id="rId225" Type="http://schemas.openxmlformats.org/officeDocument/2006/relationships/hyperlink" Target="https://en.wikipedia.org/wiki/The_Ooz" TargetMode="External"/><Relationship Id="rId246" Type="http://schemas.openxmlformats.org/officeDocument/2006/relationships/hyperlink" Target="https://en.wikipedia.org/wiki/Once_I_Was_an_Eagle" TargetMode="External"/><Relationship Id="rId267" Type="http://schemas.openxmlformats.org/officeDocument/2006/relationships/hyperlink" Target="https://www.reddit.com/r/indieheads/comments/mupasn/top_ten_tuesday_lightning_bolt/" TargetMode="External"/><Relationship Id="rId288" Type="http://schemas.openxmlformats.org/officeDocument/2006/relationships/hyperlink" Target="https://en.wikipedia.org/wiki/Exile_in_Guyville" TargetMode="External"/><Relationship Id="rId106" Type="http://schemas.openxmlformats.org/officeDocument/2006/relationships/hyperlink" Target="https://en.wikipedia.org/wiki/The_ArchAndroid" TargetMode="External"/><Relationship Id="rId127" Type="http://schemas.openxmlformats.org/officeDocument/2006/relationships/hyperlink" Target="https://en.wikipedia.org/wiki/Soft_Sounds_from_Another_Planet" TargetMode="External"/><Relationship Id="rId313" Type="http://schemas.openxmlformats.org/officeDocument/2006/relationships/hyperlink" Target="https://en.wikipedia.org/wiki/Home_Video_(album)" TargetMode="External"/><Relationship Id="rId10" Type="http://schemas.openxmlformats.org/officeDocument/2006/relationships/hyperlink" Target="https://en.wikipedia.org/wiki/Zaba_(album)" TargetMode="External"/><Relationship Id="rId31" Type="http://schemas.openxmlformats.org/officeDocument/2006/relationships/hyperlink" Target="https://www.reddit.com/r/indieheads/comments/gmmhp7/top_ten_tuesday_grouper/" TargetMode="External"/><Relationship Id="rId52" Type="http://schemas.openxmlformats.org/officeDocument/2006/relationships/hyperlink" Target="https://en.wikipedia.org/wiki/Days_Are_Gone" TargetMode="External"/><Relationship Id="rId73" Type="http://schemas.openxmlformats.org/officeDocument/2006/relationships/hyperlink" Target="https://en.wikipedia.org/wiki/Plowing_Into_the_Field_of_Love" TargetMode="External"/><Relationship Id="rId94" Type="http://schemas.openxmlformats.org/officeDocument/2006/relationships/hyperlink" Target="https://open.spotify.com/user/swik12/playlist/5Dw6XjpHBdkuiFN3C5KsNI?si=ZLS4-4ElQOOonVvSs4mZeQ" TargetMode="External"/><Relationship Id="rId148" Type="http://schemas.openxmlformats.org/officeDocument/2006/relationships/hyperlink" Target="https://en.wikipedia.org/wiki/Apocalypse,_Girl" TargetMode="External"/><Relationship Id="rId169" Type="http://schemas.openxmlformats.org/officeDocument/2006/relationships/hyperlink" Target="https://www.reddit.com/r/indieheads/comments/p6rydj/top_ten_tuesday_joni_mitchell/" TargetMode="External"/><Relationship Id="rId4" Type="http://schemas.openxmlformats.org/officeDocument/2006/relationships/hyperlink" Target="https://www.reddit.com/r/indieheads/comments/rg8rg6/top_ten_tuesday_glass_animals/" TargetMode="External"/><Relationship Id="rId180" Type="http://schemas.openxmlformats.org/officeDocument/2006/relationships/hyperlink" Target="https://en.wikipedia.org/wiki/Blue_(Joni_Mitchell_album)" TargetMode="External"/><Relationship Id="rId215" Type="http://schemas.openxmlformats.org/officeDocument/2006/relationships/hyperlink" Target="https://en.wikipedia.org/wiki/Singing_Saw_(album)" TargetMode="External"/><Relationship Id="rId236" Type="http://schemas.openxmlformats.org/officeDocument/2006/relationships/hyperlink" Target="https://en.wikipedia.org/wiki/Paradise_(Lana_Del_Rey_EP)" TargetMode="External"/><Relationship Id="rId257" Type="http://schemas.openxmlformats.org/officeDocument/2006/relationships/hyperlink" Target="https://en.wikipedia.org/wiki/Liars_(Liars_album)" TargetMode="External"/><Relationship Id="rId278" Type="http://schemas.openxmlformats.org/officeDocument/2006/relationships/hyperlink" Target="https://en.wikipedia.org/wiki/Fantasy_Empire" TargetMode="External"/><Relationship Id="rId303" Type="http://schemas.openxmlformats.org/officeDocument/2006/relationships/hyperlink" Target="https://en.wikipedia.org/wiki/Sally_Can%27t_Dance" TargetMode="External"/><Relationship Id="rId42" Type="http://schemas.openxmlformats.org/officeDocument/2006/relationships/hyperlink" Target="https://www.reddit.com/r/indieheads/comments/mq4qbn/top_ten_tuesday_haim/" TargetMode="External"/><Relationship Id="rId84" Type="http://schemas.openxmlformats.org/officeDocument/2006/relationships/hyperlink" Target="https://en.wikipedia.org/wiki/Joy_as_an_Act_of_Resistance" TargetMode="External"/><Relationship Id="rId138" Type="http://schemas.openxmlformats.org/officeDocument/2006/relationships/hyperlink" Target="https://en.wikipedia.org/wiki/Anak_Ko" TargetMode="External"/><Relationship Id="rId191" Type="http://schemas.openxmlformats.org/officeDocument/2006/relationships/hyperlink" Target="https://en.wikipedia.org/wiki/Veteran_(JPEGMafia_album)" TargetMode="External"/><Relationship Id="rId205" Type="http://schemas.openxmlformats.org/officeDocument/2006/relationships/hyperlink" Target="https://en.wikipedia.org/wiki/Time_%27n%27_Place" TargetMode="External"/><Relationship Id="rId247" Type="http://schemas.openxmlformats.org/officeDocument/2006/relationships/hyperlink" Target="https://en.wikipedia.org/wiki/Once_I_Was_an_Eagle" TargetMode="External"/><Relationship Id="rId107" Type="http://schemas.openxmlformats.org/officeDocument/2006/relationships/hyperlink" Target="https://en.wikipedia.org/wiki/The_ArchAndroid" TargetMode="External"/><Relationship Id="rId289" Type="http://schemas.openxmlformats.org/officeDocument/2006/relationships/hyperlink" Target="https://en.wikipedia.org/wiki/Exile_in_Guyville" TargetMode="External"/><Relationship Id="rId11" Type="http://schemas.openxmlformats.org/officeDocument/2006/relationships/hyperlink" Target="https://en.wikipedia.org/wiki/How_to_Be_a_Human_Being" TargetMode="External"/><Relationship Id="rId53" Type="http://schemas.openxmlformats.org/officeDocument/2006/relationships/hyperlink" Target="https://en.wikipedia.org/wiki/Days_Are_Gone" TargetMode="External"/><Relationship Id="rId149" Type="http://schemas.openxmlformats.org/officeDocument/2006/relationships/hyperlink" Target="https://en.wikipedia.org/wiki/The_Practice_of_Love_(album)" TargetMode="External"/><Relationship Id="rId314" Type="http://schemas.openxmlformats.org/officeDocument/2006/relationships/hyperlink" Target="https://en.wikipedia.org/wiki/Home_Video_(album)" TargetMode="External"/><Relationship Id="rId95" Type="http://schemas.openxmlformats.org/officeDocument/2006/relationships/hyperlink" Target="https://www.reddit.com/r/indieheads/comments/t9g4d2/top_ten_tuesday_injury_reserve/" TargetMode="External"/><Relationship Id="rId160" Type="http://schemas.openxmlformats.org/officeDocument/2006/relationships/hyperlink" Target="https://en.wikipedia.org/wiki/Clarity_(Jimmy_Eat_World_album)" TargetMode="External"/><Relationship Id="rId216" Type="http://schemas.openxmlformats.org/officeDocument/2006/relationships/hyperlink" Target="https://en.wikipedia.org/wiki/Sundowner_(album)" TargetMode="External"/><Relationship Id="rId258" Type="http://schemas.openxmlformats.org/officeDocument/2006/relationships/hyperlink" Target="https://en.wikipedia.org/wiki/Sisterworld" TargetMode="External"/><Relationship Id="rId22" Type="http://schemas.openxmlformats.org/officeDocument/2006/relationships/hyperlink" Target="https://en.wikipedia.org/wiki/16_Lovers_Lane" TargetMode="External"/><Relationship Id="rId64" Type="http://schemas.openxmlformats.org/officeDocument/2006/relationships/hyperlink" Target="https://en.wikipedia.org/wiki/The_Unnatural_World" TargetMode="External"/><Relationship Id="rId118" Type="http://schemas.openxmlformats.org/officeDocument/2006/relationships/hyperlink" Target="https://en.wikipedia.org/wiki/Jubilee_(Japanese_Breakfast_album)" TargetMode="External"/><Relationship Id="rId171" Type="http://schemas.openxmlformats.org/officeDocument/2006/relationships/hyperlink" Target="https://en.wikipedia.org/wiki/Blue_(Joni_Mitchell_album)" TargetMode="External"/><Relationship Id="rId227" Type="http://schemas.openxmlformats.org/officeDocument/2006/relationships/hyperlink" Target="https://en.wikipedia.org/wiki/6_Feet_Beneath_the_Moon" TargetMode="External"/><Relationship Id="rId269" Type="http://schemas.openxmlformats.org/officeDocument/2006/relationships/hyperlink" Target="https://en.wikipedia.org/wiki/Hypermagic_Mountain" TargetMode="External"/><Relationship Id="rId33" Type="http://schemas.openxmlformats.org/officeDocument/2006/relationships/hyperlink" Target="https://en.wikipedia.org/wiki/Dragging_a_Dead_Deer_Up_a_Hill" TargetMode="External"/><Relationship Id="rId129" Type="http://schemas.openxmlformats.org/officeDocument/2006/relationships/hyperlink" Target="https://open.spotify.com/playlist/2mGKFbM0fbyKn7Pd07fFnW?si=4cfaf0c2b8974a0d" TargetMode="External"/><Relationship Id="rId280" Type="http://schemas.openxmlformats.org/officeDocument/2006/relationships/hyperlink" Target="https://open.spotify.com/playlist/4uI48gJKCnyg6HJDF6G9p3?si=c1e04b3d119e4949" TargetMode="External"/><Relationship Id="rId75" Type="http://schemas.openxmlformats.org/officeDocument/2006/relationships/hyperlink" Target="https://en.wikipedia.org/wiki/You%27re_Nothing" TargetMode="External"/><Relationship Id="rId140" Type="http://schemas.openxmlformats.org/officeDocument/2006/relationships/hyperlink" Target="https://open.spotify.com/playlist/5UXs9THI2exOaT1f7GDqQN?si=4VYRBCtwQe-1vANnu6lKQw" TargetMode="External"/><Relationship Id="rId182" Type="http://schemas.openxmlformats.org/officeDocument/2006/relationships/hyperlink" Target="https://www.reddit.com/r/indieheads/comments/11retd3/top_ten_tuesday_joyce_manor/?utm_source=share&amp;utm_medium=ios_app&amp;utm_name=ioscss&amp;utm_content=1&amp;utm_term=1" TargetMode="External"/><Relationship Id="rId6" Type="http://schemas.openxmlformats.org/officeDocument/2006/relationships/hyperlink" Target="https://en.wikipedia.org/wiki/How_to_Be_a_Human_Being" TargetMode="External"/><Relationship Id="rId238" Type="http://schemas.openxmlformats.org/officeDocument/2006/relationships/hyperlink" Target="https://en.wikipedia.org/wiki/Born_to_Die" TargetMode="External"/><Relationship Id="rId291" Type="http://schemas.openxmlformats.org/officeDocument/2006/relationships/hyperlink" Target="https://www.reddit.com/r/indieheads/comments/yvwbbo/top_ten_tuesday_lorde/?utm_source=share&amp;utm_medium=ios_app&amp;utm_name=iossmf" TargetMode="External"/><Relationship Id="rId305" Type="http://schemas.openxmlformats.org/officeDocument/2006/relationships/hyperlink" Target="https://open.spotify.com/user/swik12/playlist/5jjmBNIG0St9f57gDODW6N?si=_bJCMtXYTV-B1NxxT6_ddg" TargetMode="External"/><Relationship Id="rId44" Type="http://schemas.openxmlformats.org/officeDocument/2006/relationships/hyperlink" Target="https://en.wikipedia.org/wiki/Women_in_Music_Pt._III" TargetMode="External"/><Relationship Id="rId86" Type="http://schemas.openxmlformats.org/officeDocument/2006/relationships/hyperlink" Target="https://en.wikipedia.org/wiki/Brutalism_(Idles_album)" TargetMode="External"/><Relationship Id="rId151" Type="http://schemas.openxmlformats.org/officeDocument/2006/relationships/hyperlink" Target="https://en.wikipedia.org/wiki/The_Practice_of_Love_(album)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Highly_Refined_Pirates" TargetMode="External"/><Relationship Id="rId21" Type="http://schemas.openxmlformats.org/officeDocument/2006/relationships/hyperlink" Target="https://en.wikipedia.org/wiki/Yerself_Is_Steam" TargetMode="External"/><Relationship Id="rId42" Type="http://schemas.openxmlformats.org/officeDocument/2006/relationships/hyperlink" Target="https://en.wikipedia.org/wiki/Arular" TargetMode="External"/><Relationship Id="rId63" Type="http://schemas.openxmlformats.org/officeDocument/2006/relationships/hyperlink" Target="https://en.wikipedia.org/wiki/Fox_Confessor_Brings_the_Flood" TargetMode="External"/><Relationship Id="rId84" Type="http://schemas.openxmlformats.org/officeDocument/2006/relationships/hyperlink" Target="https://en.wikipedia.org/wiki/Sirens_(Nicolas_Jaar_album)" TargetMode="External"/><Relationship Id="rId16" Type="http://schemas.openxmlformats.org/officeDocument/2006/relationships/hyperlink" Target="https://www.reddit.com/r/indieheads/comments/1029a3i/top_ten_tuesday_men_i_trust/?utm_source=share&amp;utm_medium=ios_app&amp;utm_name=iossmf" TargetMode="External"/><Relationship Id="rId107" Type="http://schemas.openxmlformats.org/officeDocument/2006/relationships/hyperlink" Target="https://en.wikipedia.org/wiki/Replica_(Oneohtrix_Point_Never_album)" TargetMode="External"/><Relationship Id="rId11" Type="http://schemas.openxmlformats.org/officeDocument/2006/relationships/hyperlink" Target="https://en.wikipedia.org/wiki/The_Holy_Bible_(album)" TargetMode="External"/><Relationship Id="rId32" Type="http://schemas.openxmlformats.org/officeDocument/2006/relationships/hyperlink" Target="https://en.wikipedia.org/wiki/Mm..Food" TargetMode="External"/><Relationship Id="rId37" Type="http://schemas.openxmlformats.org/officeDocument/2006/relationships/hyperlink" Target="https://open.spotify.com/playlist/1ay6mz8Blnf5BIb1OvRMwa?si=63c710c01a3049a2" TargetMode="External"/><Relationship Id="rId53" Type="http://schemas.openxmlformats.org/officeDocument/2006/relationships/hyperlink" Target="https://open.spotify.com/playlist/5UpfJrqxYDkB2sPGV5kF6f?si=SqdBlBK-R56SHQPK4lXTbg" TargetMode="External"/><Relationship Id="rId58" Type="http://schemas.openxmlformats.org/officeDocument/2006/relationships/hyperlink" Target="https://en.wikipedia.org/wiki/Middle_Cyclone" TargetMode="External"/><Relationship Id="rId74" Type="http://schemas.openxmlformats.org/officeDocument/2006/relationships/hyperlink" Target="https://en.wikipedia.org/wiki/Neu!_%2775" TargetMode="External"/><Relationship Id="rId79" Type="http://schemas.openxmlformats.org/officeDocument/2006/relationships/hyperlink" Target="https://www.reddit.com/r/indieheads/comments/4chvcr/top_ten_tuesday_new_order/" TargetMode="External"/><Relationship Id="rId102" Type="http://schemas.openxmlformats.org/officeDocument/2006/relationships/hyperlink" Target="https://www.reddit.com/r/indieheads/comments/mld8bz/top_ten_tuesday_oneohtrix_point_never/" TargetMode="External"/><Relationship Id="rId123" Type="http://schemas.openxmlformats.org/officeDocument/2006/relationships/hyperlink" Target="https://open.spotify.com/user/swik12/playlist/53Cj0ciXGKLss0Z76DyMlX?si=32l1ncLVRtSRuwwov0TUew" TargetMode="External"/><Relationship Id="rId128" Type="http://schemas.openxmlformats.org/officeDocument/2006/relationships/hyperlink" Target="https://en.wikipedia.org/wiki/2012%E2%80%932017" TargetMode="External"/><Relationship Id="rId5" Type="http://schemas.openxmlformats.org/officeDocument/2006/relationships/hyperlink" Target="https://en.wikipedia.org/wiki/The_Holy_Bible_(album)" TargetMode="External"/><Relationship Id="rId90" Type="http://schemas.openxmlformats.org/officeDocument/2006/relationships/hyperlink" Target="https://www.reddit.com/r/indieheads/comments/jaambr/top_ten_tuesday_okkervil_river/" TargetMode="External"/><Relationship Id="rId95" Type="http://schemas.openxmlformats.org/officeDocument/2006/relationships/hyperlink" Target="https://en.wikipedia.org/wiki/Black_Sheep_Boy" TargetMode="External"/><Relationship Id="rId22" Type="http://schemas.openxmlformats.org/officeDocument/2006/relationships/hyperlink" Target="https://en.wikipedia.org/wiki/Boces" TargetMode="External"/><Relationship Id="rId27" Type="http://schemas.openxmlformats.org/officeDocument/2006/relationships/hyperlink" Target="https://en.wikipedia.org/wiki/Boces" TargetMode="External"/><Relationship Id="rId43" Type="http://schemas.openxmlformats.org/officeDocument/2006/relationships/hyperlink" Target="https://en.wikipedia.org/wiki/Arular" TargetMode="External"/><Relationship Id="rId48" Type="http://schemas.openxmlformats.org/officeDocument/2006/relationships/hyperlink" Target="https://open.spotify.com/user/swik12/playlist/53Cj0ciXGKLss0Z76DyMlX?si=32l1ncLVRtSRuwwov0TUew" TargetMode="External"/><Relationship Id="rId64" Type="http://schemas.openxmlformats.org/officeDocument/2006/relationships/hyperlink" Target="https://en.wikipedia.org/wiki/Fox_Confessor_Brings_the_Flood" TargetMode="External"/><Relationship Id="rId69" Type="http://schemas.openxmlformats.org/officeDocument/2006/relationships/hyperlink" Target="https://en.wikipedia.org/wiki/Neu!_%2775" TargetMode="External"/><Relationship Id="rId113" Type="http://schemas.openxmlformats.org/officeDocument/2006/relationships/hyperlink" Target="https://en.wikipedia.org/wiki/Highly_Refined_Pirates" TargetMode="External"/><Relationship Id="rId118" Type="http://schemas.openxmlformats.org/officeDocument/2006/relationships/hyperlink" Target="https://en.wikipedia.org/wiki/Planet_of_Ice" TargetMode="External"/><Relationship Id="rId134" Type="http://schemas.openxmlformats.org/officeDocument/2006/relationships/hyperlink" Target="https://en.wikipedia.org/wiki/Madvillainy" TargetMode="External"/><Relationship Id="rId80" Type="http://schemas.openxmlformats.org/officeDocument/2006/relationships/hyperlink" Target="https://www.reddit.com/r/indieheads/comments/xr68la/redo_thursday_nick_cave/" TargetMode="External"/><Relationship Id="rId85" Type="http://schemas.openxmlformats.org/officeDocument/2006/relationships/hyperlink" Target="https://en.wikipedia.org/wiki/Sirens_(Nicolas_Jaar_album)" TargetMode="External"/><Relationship Id="rId12" Type="http://schemas.openxmlformats.org/officeDocument/2006/relationships/hyperlink" Target="https://en.wikipedia.org/wiki/Generation_Terrorists" TargetMode="External"/><Relationship Id="rId17" Type="http://schemas.openxmlformats.org/officeDocument/2006/relationships/hyperlink" Target="https://www.reddit.com/r/indieheads/comments/iorib9/top_ten_tuesday_mercury_rev/" TargetMode="External"/><Relationship Id="rId33" Type="http://schemas.openxmlformats.org/officeDocument/2006/relationships/hyperlink" Target="https://en.wikipedia.org/wiki/Mm..Food" TargetMode="External"/><Relationship Id="rId38" Type="http://schemas.openxmlformats.org/officeDocument/2006/relationships/hyperlink" Target="https://en.wikipedia.org/wiki/Kala_(album)" TargetMode="External"/><Relationship Id="rId59" Type="http://schemas.openxmlformats.org/officeDocument/2006/relationships/hyperlink" Target="https://en.wikipedia.org/wiki/Blacklisted_(album)" TargetMode="External"/><Relationship Id="rId103" Type="http://schemas.openxmlformats.org/officeDocument/2006/relationships/hyperlink" Target="https://en.wikipedia.org/wiki/R_Plus_Seven" TargetMode="External"/><Relationship Id="rId108" Type="http://schemas.openxmlformats.org/officeDocument/2006/relationships/hyperlink" Target="https://en.wikipedia.org/wiki/Garden_of_Delete" TargetMode="External"/><Relationship Id="rId124" Type="http://schemas.openxmlformats.org/officeDocument/2006/relationships/hyperlink" Target="https://www.reddit.com/r/indieheads/comments/kmcxdj/top_ten_tuesday_nicol%C3%A1s_jaar_against_all_logic/" TargetMode="External"/><Relationship Id="rId129" Type="http://schemas.openxmlformats.org/officeDocument/2006/relationships/hyperlink" Target="https://en.wikipedia.org/wiki/2012%E2%80%932017" TargetMode="External"/><Relationship Id="rId54" Type="http://schemas.openxmlformats.org/officeDocument/2006/relationships/hyperlink" Target="https://www.reddit.com/r/indieheads/comments/m15veo/top_ten_tuesday_neko_case/" TargetMode="External"/><Relationship Id="rId70" Type="http://schemas.openxmlformats.org/officeDocument/2006/relationships/hyperlink" Target="https://en.wikipedia.org/wiki/Neu!_2" TargetMode="External"/><Relationship Id="rId75" Type="http://schemas.openxmlformats.org/officeDocument/2006/relationships/hyperlink" Target="https://en.wikipedia.org/wiki/Neu!_(album)" TargetMode="External"/><Relationship Id="rId91" Type="http://schemas.openxmlformats.org/officeDocument/2006/relationships/hyperlink" Target="https://open.spotify.com/playlist/4RaVSXvDnEHJehbT5Arore?si=UOaFU_N9R5mpg7_IomMb1w" TargetMode="External"/><Relationship Id="rId96" Type="http://schemas.openxmlformats.org/officeDocument/2006/relationships/hyperlink" Target="https://en.wikipedia.org/wiki/Black_Sheep_Boy" TargetMode="External"/><Relationship Id="rId1" Type="http://schemas.openxmlformats.org/officeDocument/2006/relationships/hyperlink" Target="https://open.spotify.com/user/swik12/playlist/76axRktQYOPb76oUsxR13K?si=WsiMJEx1QJql7rA_BDq4pg" TargetMode="External"/><Relationship Id="rId6" Type="http://schemas.openxmlformats.org/officeDocument/2006/relationships/hyperlink" Target="https://en.wikipedia.org/wiki/The_Holy_Bible_(album)" TargetMode="External"/><Relationship Id="rId23" Type="http://schemas.openxmlformats.org/officeDocument/2006/relationships/hyperlink" Target="https://en.wikipedia.org/wiki/Yerself_Is_Steam" TargetMode="External"/><Relationship Id="rId28" Type="http://schemas.openxmlformats.org/officeDocument/2006/relationships/hyperlink" Target="https://en.wikipedia.org/wiki/Deserter%27s_Songs" TargetMode="External"/><Relationship Id="rId49" Type="http://schemas.openxmlformats.org/officeDocument/2006/relationships/hyperlink" Target="https://en.wikipedia.org/wiki/Planet_of_Ice" TargetMode="External"/><Relationship Id="rId114" Type="http://schemas.openxmlformats.org/officeDocument/2006/relationships/hyperlink" Target="https://en.wikipedia.org/wiki/Planet_of_Ice" TargetMode="External"/><Relationship Id="rId119" Type="http://schemas.openxmlformats.org/officeDocument/2006/relationships/hyperlink" Target="https://en.wikipedia.org/wiki/Menos_el_Oso" TargetMode="External"/><Relationship Id="rId44" Type="http://schemas.openxmlformats.org/officeDocument/2006/relationships/hyperlink" Target="https://en.wikipedia.org/wiki/Maya_(M.I.A._album)" TargetMode="External"/><Relationship Id="rId60" Type="http://schemas.openxmlformats.org/officeDocument/2006/relationships/hyperlink" Target="https://en.wikipedia.org/wiki/Blacklisted_(album)" TargetMode="External"/><Relationship Id="rId65" Type="http://schemas.openxmlformats.org/officeDocument/2006/relationships/hyperlink" Target="https://en.wikipedia.org/wiki/The_Worse_Things_Get,_the_Harder_I_Fight,_the_Harder_I_Fight,_the_More_I_Love_You" TargetMode="External"/><Relationship Id="rId81" Type="http://schemas.openxmlformats.org/officeDocument/2006/relationships/hyperlink" Target="https://www.reddit.com/r/indieheads/comments/kmcxdj/top_ten_tuesday_nicol%C3%A1s_jaar_against_all_logic/" TargetMode="External"/><Relationship Id="rId86" Type="http://schemas.openxmlformats.org/officeDocument/2006/relationships/hyperlink" Target="https://rateyourmusic.com/release/ep/nicolas-jaar/nymphs-iii/" TargetMode="External"/><Relationship Id="rId130" Type="http://schemas.openxmlformats.org/officeDocument/2006/relationships/hyperlink" Target="https://www.reddit.com/r/indieheads/comments/kqx27l/top_ten_tuesday_mf_doom/" TargetMode="External"/><Relationship Id="rId135" Type="http://schemas.openxmlformats.org/officeDocument/2006/relationships/hyperlink" Target="https://en.wikipedia.org/wiki/Madvillainy" TargetMode="External"/><Relationship Id="rId13" Type="http://schemas.openxmlformats.org/officeDocument/2006/relationships/hyperlink" Target="https://en.wikipedia.org/wiki/The_Holy_Bible_(album)" TargetMode="External"/><Relationship Id="rId18" Type="http://schemas.openxmlformats.org/officeDocument/2006/relationships/hyperlink" Target="https://open.spotify.com/playlist/4rVro2ga7KJkN8PLP0pjbw?si=9THXJ0iBTNie5OtDNwcaoQ" TargetMode="External"/><Relationship Id="rId39" Type="http://schemas.openxmlformats.org/officeDocument/2006/relationships/hyperlink" Target="https://en.wikipedia.org/wiki/Matangi_(album)" TargetMode="External"/><Relationship Id="rId109" Type="http://schemas.openxmlformats.org/officeDocument/2006/relationships/hyperlink" Target="https://en.wikipedia.org/wiki/R_Plus_Seven" TargetMode="External"/><Relationship Id="rId34" Type="http://schemas.openxmlformats.org/officeDocument/2006/relationships/hyperlink" Target="https://en.wikipedia.org/wiki/Born_Like_This" TargetMode="External"/><Relationship Id="rId50" Type="http://schemas.openxmlformats.org/officeDocument/2006/relationships/hyperlink" Target="https://en.wikipedia.org/wiki/Menos_el_Oso" TargetMode="External"/><Relationship Id="rId55" Type="http://schemas.openxmlformats.org/officeDocument/2006/relationships/hyperlink" Target="https://open.spotify.com/playlist/2ba8luA1EofNOtcGoE5XV5?si=IMDK6Tb_RkSdpL-F75blzw" TargetMode="External"/><Relationship Id="rId76" Type="http://schemas.openxmlformats.org/officeDocument/2006/relationships/hyperlink" Target="https://en.wikipedia.org/wiki/Neu!_2" TargetMode="External"/><Relationship Id="rId97" Type="http://schemas.openxmlformats.org/officeDocument/2006/relationships/hyperlink" Target="https://en.wikipedia.org/wiki/The_Stage_Names" TargetMode="External"/><Relationship Id="rId104" Type="http://schemas.openxmlformats.org/officeDocument/2006/relationships/hyperlink" Target="https://en.wikipedia.org/wiki/Replica_(Oneohtrix_Point_Never_album)" TargetMode="External"/><Relationship Id="rId120" Type="http://schemas.openxmlformats.org/officeDocument/2006/relationships/hyperlink" Target="https://en.wikipedia.org/wiki/Highly_Refined_Pirates" TargetMode="External"/><Relationship Id="rId125" Type="http://schemas.openxmlformats.org/officeDocument/2006/relationships/hyperlink" Target="https://open.spotify.com/playlist/6BLtVkkivFYwwtqtWCKVM4?si=_c9fZgVHQ0i2mLjDnOiQmA" TargetMode="External"/><Relationship Id="rId7" Type="http://schemas.openxmlformats.org/officeDocument/2006/relationships/hyperlink" Target="https://en.wikipedia.org/wiki/Everything_Must_Go_(Manic_Street_Preachers_album)" TargetMode="External"/><Relationship Id="rId71" Type="http://schemas.openxmlformats.org/officeDocument/2006/relationships/hyperlink" Target="https://en.wikipedia.org/wiki/Neu!_(album)" TargetMode="External"/><Relationship Id="rId92" Type="http://schemas.openxmlformats.org/officeDocument/2006/relationships/hyperlink" Target="https://en.wikipedia.org/wiki/Black_Sheep_Boy" TargetMode="External"/><Relationship Id="rId2" Type="http://schemas.openxmlformats.org/officeDocument/2006/relationships/hyperlink" Target="https://www.reddit.com/r/indieheads/comments/rvvtro/top_ten_tuesday_manic_street_preachers/" TargetMode="External"/><Relationship Id="rId29" Type="http://schemas.openxmlformats.org/officeDocument/2006/relationships/hyperlink" Target="https://www.reddit.com/r/indieheads/comments/kqx27l/top_ten_tuesday_mf_doom/" TargetMode="External"/><Relationship Id="rId24" Type="http://schemas.openxmlformats.org/officeDocument/2006/relationships/hyperlink" Target="https://en.wikipedia.org/wiki/Yerself_Is_Steam" TargetMode="External"/><Relationship Id="rId40" Type="http://schemas.openxmlformats.org/officeDocument/2006/relationships/hyperlink" Target="https://en.wikipedia.org/wiki/Kala_(album)" TargetMode="External"/><Relationship Id="rId45" Type="http://schemas.openxmlformats.org/officeDocument/2006/relationships/hyperlink" Target="https://en.wikipedia.org/wiki/Kala_(album)" TargetMode="External"/><Relationship Id="rId66" Type="http://schemas.openxmlformats.org/officeDocument/2006/relationships/hyperlink" Target="https://www.reddit.com/r/indieheads/comments/ha1w7d/top_ten_tuesday_neu/" TargetMode="External"/><Relationship Id="rId87" Type="http://schemas.openxmlformats.org/officeDocument/2006/relationships/hyperlink" Target="https://en.wikipedia.org/wiki/Space_Is_Only_Noise" TargetMode="External"/><Relationship Id="rId110" Type="http://schemas.openxmlformats.org/officeDocument/2006/relationships/hyperlink" Target="https://en.wikipedia.org/wiki/Magic_Oneohtrix_Point_Never" TargetMode="External"/><Relationship Id="rId115" Type="http://schemas.openxmlformats.org/officeDocument/2006/relationships/hyperlink" Target="https://en.wikipedia.org/wiki/Menos_el_Oso" TargetMode="External"/><Relationship Id="rId131" Type="http://schemas.openxmlformats.org/officeDocument/2006/relationships/hyperlink" Target="https://open.spotify.com/playlist/4ajHy0tkw7nFfcaLDPtgTw?si=3f3p2XdjSAiJ3KR09comFw" TargetMode="External"/><Relationship Id="rId136" Type="http://schemas.openxmlformats.org/officeDocument/2006/relationships/hyperlink" Target="https://en.wikipedia.org/wiki/Madvillainy" TargetMode="External"/><Relationship Id="rId61" Type="http://schemas.openxmlformats.org/officeDocument/2006/relationships/hyperlink" Target="https://en.wikipedia.org/wiki/Middle_Cyclone" TargetMode="External"/><Relationship Id="rId82" Type="http://schemas.openxmlformats.org/officeDocument/2006/relationships/hyperlink" Target="https://open.spotify.com/playlist/6BLtVkkivFYwwtqtWCKVM4?si=_c9fZgVHQ0i2mLjDnOiQmA" TargetMode="External"/><Relationship Id="rId19" Type="http://schemas.openxmlformats.org/officeDocument/2006/relationships/hyperlink" Target="https://en.wikipedia.org/wiki/Deserter%27s_Songs" TargetMode="External"/><Relationship Id="rId14" Type="http://schemas.openxmlformats.org/officeDocument/2006/relationships/hyperlink" Target="https://open.spotify.com/user/swik12/playlist/0DF6HiHpx7oOM6YTZ9wXT9?si=_BslDtJ5TReX79eJ3lFqwg" TargetMode="External"/><Relationship Id="rId30" Type="http://schemas.openxmlformats.org/officeDocument/2006/relationships/hyperlink" Target="https://open.spotify.com/playlist/4ajHy0tkw7nFfcaLDPtgTw?si=3f3p2XdjSAiJ3KR09comFw" TargetMode="External"/><Relationship Id="rId35" Type="http://schemas.openxmlformats.org/officeDocument/2006/relationships/hyperlink" Target="https://www.reddit.com/r/indieheads/comments/10ls0er/redo_thursday_mgmt/?utm_source=share&amp;utm_medium=web2x&amp;context=3" TargetMode="External"/><Relationship Id="rId56" Type="http://schemas.openxmlformats.org/officeDocument/2006/relationships/hyperlink" Target="https://en.wikipedia.org/wiki/Fox_Confessor_Brings_the_Flood" TargetMode="External"/><Relationship Id="rId77" Type="http://schemas.openxmlformats.org/officeDocument/2006/relationships/hyperlink" Target="https://en.wikipedia.org/wiki/Neu!_2" TargetMode="External"/><Relationship Id="rId100" Type="http://schemas.openxmlformats.org/officeDocument/2006/relationships/hyperlink" Target="https://en.wikipedia.org/wiki/The_Stage_Names" TargetMode="External"/><Relationship Id="rId105" Type="http://schemas.openxmlformats.org/officeDocument/2006/relationships/hyperlink" Target="https://en.wikipedia.org/wiki/Replica_(Oneohtrix_Point_Never_album)" TargetMode="External"/><Relationship Id="rId126" Type="http://schemas.openxmlformats.org/officeDocument/2006/relationships/hyperlink" Target="https://en.wikipedia.org/wiki/2012%E2%80%932017" TargetMode="External"/><Relationship Id="rId8" Type="http://schemas.openxmlformats.org/officeDocument/2006/relationships/hyperlink" Target="https://en.wikipedia.org/wiki/The_Holy_Bible_(album)" TargetMode="External"/><Relationship Id="rId51" Type="http://schemas.openxmlformats.org/officeDocument/2006/relationships/hyperlink" Target="https://open.spotify.com/playlist/34cA0nBqOQ3cl2DELurv1M?si=vnYYJng5TgiJo2NX2Ldecw" TargetMode="External"/><Relationship Id="rId72" Type="http://schemas.openxmlformats.org/officeDocument/2006/relationships/hyperlink" Target="https://en.wikipedia.org/wiki/Neu!_%2775" TargetMode="External"/><Relationship Id="rId93" Type="http://schemas.openxmlformats.org/officeDocument/2006/relationships/hyperlink" Target="https://en.wikipedia.org/wiki/The_Stand_Ins" TargetMode="External"/><Relationship Id="rId98" Type="http://schemas.openxmlformats.org/officeDocument/2006/relationships/hyperlink" Target="https://en.wikipedia.org/wiki/Don%27t_Fall_in_Love_with_Everyone_You_See" TargetMode="External"/><Relationship Id="rId121" Type="http://schemas.openxmlformats.org/officeDocument/2006/relationships/hyperlink" Target="https://open.spotify.com/playlist/02damdzCm0SP6NK3XGbhTs?si=QF98s-6kSqCxFNKvvmiIFA" TargetMode="External"/><Relationship Id="rId3" Type="http://schemas.openxmlformats.org/officeDocument/2006/relationships/hyperlink" Target="https://open.spotify.com/playlist/6RwGvMEGkKkcURUNvUBQ9d?si=89f46243da304fef" TargetMode="External"/><Relationship Id="rId25" Type="http://schemas.openxmlformats.org/officeDocument/2006/relationships/hyperlink" Target="https://en.wikipedia.org/wiki/Deserter%27s_Songs" TargetMode="External"/><Relationship Id="rId46" Type="http://schemas.openxmlformats.org/officeDocument/2006/relationships/hyperlink" Target="https://en.wikipedia.org/wiki/Kala_(album)" TargetMode="External"/><Relationship Id="rId67" Type="http://schemas.openxmlformats.org/officeDocument/2006/relationships/hyperlink" Target="https://open.spotify.com/playlist/3ercYjeEKtdVgw1xjrXooC?si=lTcPPYmYSV-LYqqa4AF_5g" TargetMode="External"/><Relationship Id="rId116" Type="http://schemas.openxmlformats.org/officeDocument/2006/relationships/hyperlink" Target="https://en.wikipedia.org/wiki/They_Make_Beer_Commercials_Like_This" TargetMode="External"/><Relationship Id="rId137" Type="http://schemas.openxmlformats.org/officeDocument/2006/relationships/hyperlink" Target="https://en.wikipedia.org/wiki/Madvillainy" TargetMode="External"/><Relationship Id="rId20" Type="http://schemas.openxmlformats.org/officeDocument/2006/relationships/hyperlink" Target="https://en.wikipedia.org/wiki/Deserter%27s_Songs" TargetMode="External"/><Relationship Id="rId41" Type="http://schemas.openxmlformats.org/officeDocument/2006/relationships/hyperlink" Target="https://en.wikipedia.org/wiki/Arular" TargetMode="External"/><Relationship Id="rId62" Type="http://schemas.openxmlformats.org/officeDocument/2006/relationships/hyperlink" Target="https://en.wikipedia.org/wiki/The_Worse_Things_Get,_the_Harder_I_Fight,_the_Harder_I_Fight,_the_More_I_Love_You" TargetMode="External"/><Relationship Id="rId83" Type="http://schemas.openxmlformats.org/officeDocument/2006/relationships/hyperlink" Target="https://en.wikipedia.org/wiki/Space_Is_Only_Noise" TargetMode="External"/><Relationship Id="rId88" Type="http://schemas.openxmlformats.org/officeDocument/2006/relationships/hyperlink" Target="https://open.spotify.com/playlist/1XgUY2DekwmSlcVtkD9ScU?si=HxzT2-TeQFmQOErI2ZYFjg" TargetMode="External"/><Relationship Id="rId111" Type="http://schemas.openxmlformats.org/officeDocument/2006/relationships/hyperlink" Target="https://en.wikipedia.org/wiki/Magic_Oneohtrix_Point_Never" TargetMode="External"/><Relationship Id="rId132" Type="http://schemas.openxmlformats.org/officeDocument/2006/relationships/hyperlink" Target="https://en.wikipedia.org/wiki/Madvillainy" TargetMode="External"/><Relationship Id="rId15" Type="http://schemas.openxmlformats.org/officeDocument/2006/relationships/hyperlink" Target="https://open.spotify.com/playlist/6XLvUfztbczIHr37btgQV7?si=ZZqL_6cFR8Oaeebr4pZITA" TargetMode="External"/><Relationship Id="rId36" Type="http://schemas.openxmlformats.org/officeDocument/2006/relationships/hyperlink" Target="https://www.reddit.com/r/indieheads/comments/ten3vc/top_ten_tuesday_mia/" TargetMode="External"/><Relationship Id="rId57" Type="http://schemas.openxmlformats.org/officeDocument/2006/relationships/hyperlink" Target="https://en.wikipedia.org/wiki/Fox_Confessor_Brings_the_Flood" TargetMode="External"/><Relationship Id="rId106" Type="http://schemas.openxmlformats.org/officeDocument/2006/relationships/hyperlink" Target="https://en.wikipedia.org/wiki/R_Plus_Seven" TargetMode="External"/><Relationship Id="rId127" Type="http://schemas.openxmlformats.org/officeDocument/2006/relationships/hyperlink" Target="https://en.wikipedia.org/wiki/2012%E2%80%932017" TargetMode="External"/><Relationship Id="rId10" Type="http://schemas.openxmlformats.org/officeDocument/2006/relationships/hyperlink" Target="https://en.wikipedia.org/wiki/Everything_Must_Go_(Manic_Street_Preachers_album)" TargetMode="External"/><Relationship Id="rId31" Type="http://schemas.openxmlformats.org/officeDocument/2006/relationships/hyperlink" Target="https://en.wikipedia.org/wiki/Operation:_Doomsday" TargetMode="External"/><Relationship Id="rId52" Type="http://schemas.openxmlformats.org/officeDocument/2006/relationships/hyperlink" Target="https://www.reddit.com/r/indieheads/comments/10g2j31/redo_thursday_modest_mouse/?utm_source=share&amp;utm_medium=ios_app&amp;utm_name=iossmf" TargetMode="External"/><Relationship Id="rId73" Type="http://schemas.openxmlformats.org/officeDocument/2006/relationships/hyperlink" Target="https://en.wikipedia.org/wiki/Neu!_%2775" TargetMode="External"/><Relationship Id="rId78" Type="http://schemas.openxmlformats.org/officeDocument/2006/relationships/hyperlink" Target="https://open.spotify.com/playlist/3WfGtefwCelNQsxsFdg6Sh?si=02riBCowTS-wZppApQJXGA" TargetMode="External"/><Relationship Id="rId94" Type="http://schemas.openxmlformats.org/officeDocument/2006/relationships/hyperlink" Target="https://en.wikipedia.org/wiki/Black_Sheep_Boy" TargetMode="External"/><Relationship Id="rId99" Type="http://schemas.openxmlformats.org/officeDocument/2006/relationships/hyperlink" Target="https://en.wikipedia.org/wiki/Black_Sheep_Boy_Appendix" TargetMode="External"/><Relationship Id="rId101" Type="http://schemas.openxmlformats.org/officeDocument/2006/relationships/hyperlink" Target="https://en.wikipedia.org/wiki/Black_Sheep_Boy_Appendix" TargetMode="External"/><Relationship Id="rId122" Type="http://schemas.openxmlformats.org/officeDocument/2006/relationships/hyperlink" Target="https://www.reddit.com/r/indieheads/comments/ll2oku/top_ten_tuesday_minus_the_bear/" TargetMode="External"/><Relationship Id="rId4" Type="http://schemas.openxmlformats.org/officeDocument/2006/relationships/hyperlink" Target="https://en.wikipedia.org/wiki/Generation_Terrorists" TargetMode="External"/><Relationship Id="rId9" Type="http://schemas.openxmlformats.org/officeDocument/2006/relationships/hyperlink" Target="https://en.wikipedia.org/wiki/This_Is_My_Truth_Tell_Me_Yours" TargetMode="External"/><Relationship Id="rId26" Type="http://schemas.openxmlformats.org/officeDocument/2006/relationships/hyperlink" Target="https://en.wikipedia.org/wiki/Deserter%27s_Songs" TargetMode="External"/><Relationship Id="rId47" Type="http://schemas.openxmlformats.org/officeDocument/2006/relationships/hyperlink" Target="https://en.wikipedia.org/wiki/Kala_(album)" TargetMode="External"/><Relationship Id="rId68" Type="http://schemas.openxmlformats.org/officeDocument/2006/relationships/hyperlink" Target="https://en.wikipedia.org/wiki/Neu!_(album)" TargetMode="External"/><Relationship Id="rId89" Type="http://schemas.openxmlformats.org/officeDocument/2006/relationships/hyperlink" Target="https://open.spotify.com/playlist/6qEPoRhetVUCWryrrMmpDq?si=Zk8SrLiWRamX3UeKOXgAsw" TargetMode="External"/><Relationship Id="rId112" Type="http://schemas.openxmlformats.org/officeDocument/2006/relationships/hyperlink" Target="https://open.spotify.com/playlist/65Oz26TLWzU6DzyDC0vSTR?si=r0NYyFz4SpGe47x4XvyNcQ" TargetMode="External"/><Relationship Id="rId133" Type="http://schemas.openxmlformats.org/officeDocument/2006/relationships/hyperlink" Target="https://en.wikipedia.org/wiki/Madvillainy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Bakesale" TargetMode="External"/><Relationship Id="rId21" Type="http://schemas.openxmlformats.org/officeDocument/2006/relationships/hyperlink" Target="https://en.wikipedia.org/wiki/A_Picture_of_Nectar" TargetMode="External"/><Relationship Id="rId42" Type="http://schemas.openxmlformats.org/officeDocument/2006/relationships/hyperlink" Target="https://en.wikipedia.org/wiki/Cardinal_(Pinegrove_album)" TargetMode="External"/><Relationship Id="rId63" Type="http://schemas.openxmlformats.org/officeDocument/2006/relationships/hyperlink" Target="https://open.spotify.com/playlist/4V2xdbYPKZccdCVbCTCx1b?si=Qfz4s5TBR7m8eo9ypI-pjA" TargetMode="External"/><Relationship Id="rId84" Type="http://schemas.openxmlformats.org/officeDocument/2006/relationships/hyperlink" Target="https://en.wikipedia.org/wiki/Magnifique_(album)" TargetMode="External"/><Relationship Id="rId138" Type="http://schemas.openxmlformats.org/officeDocument/2006/relationships/hyperlink" Target="https://en.wikipedia.org/wiki/Hy%C3%A6na" TargetMode="External"/><Relationship Id="rId159" Type="http://schemas.openxmlformats.org/officeDocument/2006/relationships/hyperlink" Target="https://en.wikipedia.org/wiki/Product_(Sophie_album)" TargetMode="External"/><Relationship Id="rId170" Type="http://schemas.openxmlformats.org/officeDocument/2006/relationships/hyperlink" Target="https://open.spotify.com/playlist/1HQKSZXPuZXbQUDI0nnQCc?si=80740f03ae75421e" TargetMode="External"/><Relationship Id="rId191" Type="http://schemas.openxmlformats.org/officeDocument/2006/relationships/hyperlink" Target="https://en.wikipedia.org/wiki/Diary_(Sunny_Day_Real_Estate_album)" TargetMode="External"/><Relationship Id="rId205" Type="http://schemas.openxmlformats.org/officeDocument/2006/relationships/hyperlink" Target="https://en.wikipedia.org/wiki/Radiator_(album)" TargetMode="External"/><Relationship Id="rId226" Type="http://schemas.openxmlformats.org/officeDocument/2006/relationships/hyperlink" Target="https://en.wikipedia.org/wiki/The_Magnolia_Electric_Co." TargetMode="External"/><Relationship Id="rId107" Type="http://schemas.openxmlformats.org/officeDocument/2006/relationships/hyperlink" Target="https://en.wikipedia.org/wiki/RTJ4" TargetMode="External"/><Relationship Id="rId11" Type="http://schemas.openxmlformats.org/officeDocument/2006/relationships/hyperlink" Target="https://en.wikipedia.org/wiki/Set_My_Heart_on_Fire_Immediately" TargetMode="External"/><Relationship Id="rId32" Type="http://schemas.openxmlformats.org/officeDocument/2006/relationships/hyperlink" Target="https://rateyourmusic.com/release/album/pile/a-hairshirt-of-purpose/" TargetMode="External"/><Relationship Id="rId53" Type="http://schemas.openxmlformats.org/officeDocument/2006/relationships/hyperlink" Target="https://en.wikipedia.org/wiki/Tasmania_(album)" TargetMode="External"/><Relationship Id="rId74" Type="http://schemas.openxmlformats.org/officeDocument/2006/relationships/hyperlink" Target="https://www.reddit.com/r/indieheads/comments/iga4yf/top_ten_tuesday_ratatat/" TargetMode="External"/><Relationship Id="rId128" Type="http://schemas.openxmlformats.org/officeDocument/2006/relationships/hyperlink" Target="https://open.spotify.com/playlist/0EKEnVTyB1pd09d3wWneXY?si=_vOGDHmCQTWuphU0u5_e-A" TargetMode="External"/><Relationship Id="rId149" Type="http://schemas.openxmlformats.org/officeDocument/2006/relationships/hyperlink" Target="https://en.wikipedia.org/wiki/Reign_of_Terror_(Sleigh_Bells_album)" TargetMode="External"/><Relationship Id="rId5" Type="http://schemas.openxmlformats.org/officeDocument/2006/relationships/hyperlink" Target="https://open.spotify.com/playlist/1ZYYkt93ZjLZgRJpkONygE?si=2f8ef2048c524f7c" TargetMode="External"/><Relationship Id="rId95" Type="http://schemas.openxmlformats.org/officeDocument/2006/relationships/hyperlink" Target="https://en.wikipedia.org/wiki/The_Execution_of_All_Things" TargetMode="External"/><Relationship Id="rId160" Type="http://schemas.openxmlformats.org/officeDocument/2006/relationships/hyperlink" Target="https://en.wikipedia.org/wiki/Oil_of_Every_Pearl%27s_Un-Insides" TargetMode="External"/><Relationship Id="rId181" Type="http://schemas.openxmlformats.org/officeDocument/2006/relationships/hyperlink" Target="https://open.spotify.com/playlist/5UTdHpiwehDmKalD11A7md?si=N3GF2TLpSpqy0ngoR48Igw" TargetMode="External"/><Relationship Id="rId216" Type="http://schemas.openxmlformats.org/officeDocument/2006/relationships/hyperlink" Target="https://en.wikipedia.org/wiki/You_Will_Never_Know_Why" TargetMode="External"/><Relationship Id="rId22" Type="http://schemas.openxmlformats.org/officeDocument/2006/relationships/hyperlink" Target="https://en.wikipedia.org/wiki/Lawn_Boy" TargetMode="External"/><Relationship Id="rId43" Type="http://schemas.openxmlformats.org/officeDocument/2006/relationships/hyperlink" Target="https://en.wikipedia.org/wiki/Skylight_(Pinegrove_album)" TargetMode="External"/><Relationship Id="rId64" Type="http://schemas.openxmlformats.org/officeDocument/2006/relationships/hyperlink" Target="https://en.wikipedia.org/wiki/Ultimate_Success_Today" TargetMode="External"/><Relationship Id="rId118" Type="http://schemas.openxmlformats.org/officeDocument/2006/relationships/hyperlink" Target="https://en.wikipedia.org/wiki/Bakesale" TargetMode="External"/><Relationship Id="rId139" Type="http://schemas.openxmlformats.org/officeDocument/2006/relationships/hyperlink" Target="https://en.wikipedia.org/wiki/Kaleidoscope_(Siouxsie_and_the_Banshees_album)" TargetMode="External"/><Relationship Id="rId85" Type="http://schemas.openxmlformats.org/officeDocument/2006/relationships/hyperlink" Target="https://en.wikipedia.org/wiki/Ratatat_(album)" TargetMode="External"/><Relationship Id="rId150" Type="http://schemas.openxmlformats.org/officeDocument/2006/relationships/hyperlink" Target="https://en.wikipedia.org/wiki/Treats_(album)" TargetMode="External"/><Relationship Id="rId171" Type="http://schemas.openxmlformats.org/officeDocument/2006/relationships/hyperlink" Target="https://en.wikipedia.org/wiki/Major_Arcana_(album)" TargetMode="External"/><Relationship Id="rId192" Type="http://schemas.openxmlformats.org/officeDocument/2006/relationships/hyperlink" Target="https://en.wikipedia.org/wiki/Diary_(Sunny_Day_Real_Estate_album)" TargetMode="External"/><Relationship Id="rId206" Type="http://schemas.openxmlformats.org/officeDocument/2006/relationships/hyperlink" Target="https://en.wikipedia.org/wiki/Guerrilla_(album)" TargetMode="External"/><Relationship Id="rId227" Type="http://schemas.openxmlformats.org/officeDocument/2006/relationships/hyperlink" Target="https://en.wikipedia.org/wiki/The_Magnolia_Electric_Co." TargetMode="External"/><Relationship Id="rId12" Type="http://schemas.openxmlformats.org/officeDocument/2006/relationships/hyperlink" Target="https://www.reddit.com/r/indieheads/comments/q6kh3t/top_ten_tuesday_phish/" TargetMode="External"/><Relationship Id="rId33" Type="http://schemas.openxmlformats.org/officeDocument/2006/relationships/hyperlink" Target="https://rateyourmusic.com/release/album/pile/magic-isnt-real/" TargetMode="External"/><Relationship Id="rId108" Type="http://schemas.openxmlformats.org/officeDocument/2006/relationships/hyperlink" Target="https://en.wikipedia.org/wiki/Run_the_Jewels_2" TargetMode="External"/><Relationship Id="rId129" Type="http://schemas.openxmlformats.org/officeDocument/2006/relationships/hyperlink" Target="https://www.reddit.com/r/indieheads/comments/10w4rem/top_ten_tuesday_silversun_pickups/" TargetMode="External"/><Relationship Id="rId54" Type="http://schemas.openxmlformats.org/officeDocument/2006/relationships/hyperlink" Target="https://en.wikipedia.org/wiki/Man_It_Feels_Like_Space_Again" TargetMode="External"/><Relationship Id="rId75" Type="http://schemas.openxmlformats.org/officeDocument/2006/relationships/hyperlink" Target="https://open.spotify.com/playlist/07GNM0XicCFMF9yE6Gg2S1?si=YxU7KhQlTje_X0KFfkR9LQ" TargetMode="External"/><Relationship Id="rId96" Type="http://schemas.openxmlformats.org/officeDocument/2006/relationships/hyperlink" Target="https://en.wikipedia.org/wiki/More_Adventurous" TargetMode="External"/><Relationship Id="rId140" Type="http://schemas.openxmlformats.org/officeDocument/2006/relationships/hyperlink" Target="https://en.wikipedia.org/wiki/Superstition_(Siouxsie_and_the_Banshees_album)" TargetMode="External"/><Relationship Id="rId161" Type="http://schemas.openxmlformats.org/officeDocument/2006/relationships/hyperlink" Target="https://en.wikipedia.org/wiki/Product_(Sophie_album)" TargetMode="External"/><Relationship Id="rId182" Type="http://schemas.openxmlformats.org/officeDocument/2006/relationships/hyperlink" Target="https://open.spotify.com/playlist/5UDFDiumZ9SM0cjj3KR8EL?si=zwCtPoGQRY-4DK5XeqwLAw" TargetMode="External"/><Relationship Id="rId217" Type="http://schemas.openxmlformats.org/officeDocument/2006/relationships/hyperlink" Target="https://en.wikipedia.org/wiki/You_Will_Never_Know_Why" TargetMode="External"/><Relationship Id="rId6" Type="http://schemas.openxmlformats.org/officeDocument/2006/relationships/hyperlink" Target="https://en.wikipedia.org/wiki/Brighten_the_Corners" TargetMode="External"/><Relationship Id="rId23" Type="http://schemas.openxmlformats.org/officeDocument/2006/relationships/hyperlink" Target="https://www.reddit.com/r/indieheads/comments/ypn8kz/top_ten_tuesday_phoebe_bridgers/?utm_source=share&amp;utm_medium=ios_app&amp;utm_name=iossmf" TargetMode="External"/><Relationship Id="rId119" Type="http://schemas.openxmlformats.org/officeDocument/2006/relationships/hyperlink" Target="https://en.wikipedia.org/wiki/Sebadoh_III" TargetMode="External"/><Relationship Id="rId44" Type="http://schemas.openxmlformats.org/officeDocument/2006/relationships/hyperlink" Target="https://en.wikipedia.org/wiki/Skylight_(Pinegrove_album)" TargetMode="External"/><Relationship Id="rId65" Type="http://schemas.openxmlformats.org/officeDocument/2006/relationships/hyperlink" Target="https://en.wikipedia.org/wiki/Ultimate_Success_Today" TargetMode="External"/><Relationship Id="rId86" Type="http://schemas.openxmlformats.org/officeDocument/2006/relationships/hyperlink" Target="https://open.spotify.com/user/swik12/playlist/3aHMfGgQY6w7ZXF3ym3H1J?si=mMRfxs4OTZCedmGhQRJehQ" TargetMode="External"/><Relationship Id="rId130" Type="http://schemas.openxmlformats.org/officeDocument/2006/relationships/hyperlink" Target="https://www.reddit.com/r/indieheads/comments/mgecd2/top_ten_tuesday_siouxsie_and_the_banshees/" TargetMode="External"/><Relationship Id="rId151" Type="http://schemas.openxmlformats.org/officeDocument/2006/relationships/hyperlink" Target="https://en.wikipedia.org/wiki/Treats_(album)" TargetMode="External"/><Relationship Id="rId172" Type="http://schemas.openxmlformats.org/officeDocument/2006/relationships/hyperlink" Target="https://en.wikipedia.org/wiki/Major_Arcana_(album)" TargetMode="External"/><Relationship Id="rId193" Type="http://schemas.openxmlformats.org/officeDocument/2006/relationships/hyperlink" Target="https://en.wikipedia.org/wiki/How_It_Feels_to_Be_Something_On" TargetMode="External"/><Relationship Id="rId207" Type="http://schemas.openxmlformats.org/officeDocument/2006/relationships/hyperlink" Target="https://en.wikipedia.org/wiki/Fuzzy_Logic_(Super_Furry_Animals_album)" TargetMode="External"/><Relationship Id="rId228" Type="http://schemas.openxmlformats.org/officeDocument/2006/relationships/hyperlink" Target="https://en.wikipedia.org/wiki/The_Magnolia_Electric_Co." TargetMode="External"/><Relationship Id="rId13" Type="http://schemas.openxmlformats.org/officeDocument/2006/relationships/hyperlink" Target="https://open.spotify.com/playlist/0dHMrusrJCJja1pToafsFo?si=bbf56ed4c5874db1" TargetMode="External"/><Relationship Id="rId109" Type="http://schemas.openxmlformats.org/officeDocument/2006/relationships/hyperlink" Target="https://en.wikipedia.org/wiki/Run_the_Jewels_2" TargetMode="External"/><Relationship Id="rId34" Type="http://schemas.openxmlformats.org/officeDocument/2006/relationships/hyperlink" Target="https://rateyourmusic.com/release/album/pile/magic-isnt-real/" TargetMode="External"/><Relationship Id="rId55" Type="http://schemas.openxmlformats.org/officeDocument/2006/relationships/hyperlink" Target="https://en.wikipedia.org/wiki/The_Weather_(Pond_album)" TargetMode="External"/><Relationship Id="rId76" Type="http://schemas.openxmlformats.org/officeDocument/2006/relationships/hyperlink" Target="https://en.wikipedia.org/wiki/Ratatat_(album)" TargetMode="External"/><Relationship Id="rId97" Type="http://schemas.openxmlformats.org/officeDocument/2006/relationships/hyperlink" Target="https://en.wikipedia.org/wiki/The_Execution_of_All_Things" TargetMode="External"/><Relationship Id="rId120" Type="http://schemas.openxmlformats.org/officeDocument/2006/relationships/hyperlink" Target="https://en.wikipedia.org/wiki/Bakesale" TargetMode="External"/><Relationship Id="rId141" Type="http://schemas.openxmlformats.org/officeDocument/2006/relationships/hyperlink" Target="https://www.reddit.com/r/indieheads/comments/ucbex1/top_ten_tuesday_sleigh_bells/" TargetMode="External"/><Relationship Id="rId7" Type="http://schemas.openxmlformats.org/officeDocument/2006/relationships/hyperlink" Target="https://www.reddit.com/r/indieheads/comments/k4jm5u/top_ten_tuesday_perfume_genius/" TargetMode="External"/><Relationship Id="rId162" Type="http://schemas.openxmlformats.org/officeDocument/2006/relationships/hyperlink" Target="https://en.wikipedia.org/wiki/Oil_of_Every_Pearl%27s_Un-Insides" TargetMode="External"/><Relationship Id="rId183" Type="http://schemas.openxmlformats.org/officeDocument/2006/relationships/hyperlink" Target="https://www.reddit.com/r/indieheads/comments/z3rc59/redo_thursday_the_strokes/" TargetMode="External"/><Relationship Id="rId218" Type="http://schemas.openxmlformats.org/officeDocument/2006/relationships/hyperlink" Target="https://en.wikipedia.org/wiki/Velocity_:_Design_:_Comfort" TargetMode="External"/><Relationship Id="rId24" Type="http://schemas.openxmlformats.org/officeDocument/2006/relationships/hyperlink" Target="https://www.reddit.com/r/indieheads/comments/i3i0z7/top_ten_tuesday_pile/" TargetMode="External"/><Relationship Id="rId45" Type="http://schemas.openxmlformats.org/officeDocument/2006/relationships/hyperlink" Target="https://en.wikipedia.org/wiki/Marigold_(Pinegrove_album)" TargetMode="External"/><Relationship Id="rId66" Type="http://schemas.openxmlformats.org/officeDocument/2006/relationships/hyperlink" Target="https://en.wikipedia.org/wiki/Ultimate_Success_Today" TargetMode="External"/><Relationship Id="rId87" Type="http://schemas.openxmlformats.org/officeDocument/2006/relationships/hyperlink" Target="https://open.spotify.com/playlist/2tm0cwvRPPQiKPf9zRDQFx?si=Bx1JiTpcT865IG_W15KGTA" TargetMode="External"/><Relationship Id="rId110" Type="http://schemas.openxmlformats.org/officeDocument/2006/relationships/hyperlink" Target="https://en.wikipedia.org/wiki/Run_the_Jewels_(album)" TargetMode="External"/><Relationship Id="rId131" Type="http://schemas.openxmlformats.org/officeDocument/2006/relationships/hyperlink" Target="https://open.spotify.com/playlist/0N5wdBLapngN3JwFBuzwF8?si=m-UFl_EZQ3eEIUfFsrFM_A" TargetMode="External"/><Relationship Id="rId152" Type="http://schemas.openxmlformats.org/officeDocument/2006/relationships/hyperlink" Target="https://en.wikipedia.org/wiki/Reign_of_Terror_(Sleigh_Bells_album)" TargetMode="External"/><Relationship Id="rId173" Type="http://schemas.openxmlformats.org/officeDocument/2006/relationships/hyperlink" Target="https://en.wikipedia.org/wiki/Foil_Deer" TargetMode="External"/><Relationship Id="rId194" Type="http://schemas.openxmlformats.org/officeDocument/2006/relationships/hyperlink" Target="https://en.wikipedia.org/wiki/How_It_Feels_to_Be_Something_On" TargetMode="External"/><Relationship Id="rId208" Type="http://schemas.openxmlformats.org/officeDocument/2006/relationships/hyperlink" Target="https://en.wikipedia.org/wiki/Rings_Around_the_World" TargetMode="External"/><Relationship Id="rId229" Type="http://schemas.openxmlformats.org/officeDocument/2006/relationships/hyperlink" Target="https://en.wikipedia.org/wiki/Axxess_%26_Ace" TargetMode="External"/><Relationship Id="rId14" Type="http://schemas.openxmlformats.org/officeDocument/2006/relationships/hyperlink" Target="https://en.wikipedia.org/wiki/Junta_(album)" TargetMode="External"/><Relationship Id="rId35" Type="http://schemas.openxmlformats.org/officeDocument/2006/relationships/hyperlink" Target="https://www.reddit.com/r/indieheads/comments/lw1woa/top_ten_tuesday_pinegrove/" TargetMode="External"/><Relationship Id="rId56" Type="http://schemas.openxmlformats.org/officeDocument/2006/relationships/hyperlink" Target="https://en.wikipedia.org/wiki/The_Weather_(Pond_album)" TargetMode="External"/><Relationship Id="rId77" Type="http://schemas.openxmlformats.org/officeDocument/2006/relationships/hyperlink" Target="https://en.wikipedia.org/wiki/Magnifique_(album)" TargetMode="External"/><Relationship Id="rId100" Type="http://schemas.openxmlformats.org/officeDocument/2006/relationships/hyperlink" Target="https://open.spotify.com/user/swik12/playlist/4LYn4Fm6UdailyCaR7OHcx?si=RYpfZG8-SEiuXoc1rs0mig" TargetMode="External"/><Relationship Id="rId8" Type="http://schemas.openxmlformats.org/officeDocument/2006/relationships/hyperlink" Target="https://open.spotify.com/playlist/5ydR5QR0kzhTibgSL2lPsl?si=PSl0bmqKTEiUDV94ql69ew" TargetMode="External"/><Relationship Id="rId98" Type="http://schemas.openxmlformats.org/officeDocument/2006/relationships/hyperlink" Target="https://en.wikipedia.org/wiki/More_Adventurous" TargetMode="External"/><Relationship Id="rId121" Type="http://schemas.openxmlformats.org/officeDocument/2006/relationships/hyperlink" Target="https://en.wikipedia.org/wiki/Bubble_%26_Scrape" TargetMode="External"/><Relationship Id="rId142" Type="http://schemas.openxmlformats.org/officeDocument/2006/relationships/hyperlink" Target="https://open.spotify.com/playlist/0HbrJ3mlX4v6UZQFgJT8Qf?si=ce174e38d69e4795" TargetMode="External"/><Relationship Id="rId163" Type="http://schemas.openxmlformats.org/officeDocument/2006/relationships/hyperlink" Target="https://en.wikipedia.org/wiki/Product_(Sophie_album)" TargetMode="External"/><Relationship Id="rId184" Type="http://schemas.openxmlformats.org/officeDocument/2006/relationships/hyperlink" Target="https://www.reddit.com/r/indieheads/comments/lqhvda/top_ten_tuesday_sufjan_stevens/" TargetMode="External"/><Relationship Id="rId219" Type="http://schemas.openxmlformats.org/officeDocument/2006/relationships/hyperlink" Target="https://en.wikipedia.org/wiki/You_Will_Never_Know_Why" TargetMode="External"/><Relationship Id="rId230" Type="http://schemas.openxmlformats.org/officeDocument/2006/relationships/hyperlink" Target="https://en.wikipedia.org/wiki/The_Lioness_(album)" TargetMode="External"/><Relationship Id="rId25" Type="http://schemas.openxmlformats.org/officeDocument/2006/relationships/hyperlink" Target="https://open.spotify.com/playlist/1gqN1BMF4DI0KV49AhShYN?si=1pFQXdJxSwuPy-Az8vURHw" TargetMode="External"/><Relationship Id="rId46" Type="http://schemas.openxmlformats.org/officeDocument/2006/relationships/hyperlink" Target="https://en.wikipedia.org/wiki/Meridian_(album)" TargetMode="External"/><Relationship Id="rId67" Type="http://schemas.openxmlformats.org/officeDocument/2006/relationships/hyperlink" Target="https://www.reddit.com/r/indieheads/comments/zkxgfp/top_ten_tuesday_public_image_ltd/?utm_source=share&amp;utm_medium=ios_app&amp;utm_name=iossmf" TargetMode="External"/><Relationship Id="rId20" Type="http://schemas.openxmlformats.org/officeDocument/2006/relationships/hyperlink" Target="https://en.wikipedia.org/wiki/Junta_(album)" TargetMode="External"/><Relationship Id="rId41" Type="http://schemas.openxmlformats.org/officeDocument/2006/relationships/hyperlink" Target="https://en.wikipedia.org/wiki/Cardinal_(Pinegrove_album)" TargetMode="External"/><Relationship Id="rId62" Type="http://schemas.openxmlformats.org/officeDocument/2006/relationships/hyperlink" Target="https://open.spotify.com/user/swik12/playlist/64Hdqgs4TPfbTjwBkKJoJQ?si=jAQFrxLYRROEnK03HgogGA" TargetMode="External"/><Relationship Id="rId83" Type="http://schemas.openxmlformats.org/officeDocument/2006/relationships/hyperlink" Target="https://en.wikipedia.org/wiki/Classics_(Ratatat_album)" TargetMode="External"/><Relationship Id="rId88" Type="http://schemas.openxmlformats.org/officeDocument/2006/relationships/hyperlink" Target="https://www.reddit.com/r/indieheads/comments/jiyqtq/top_ten_tuesday_rilo_kiley/" TargetMode="External"/><Relationship Id="rId111" Type="http://schemas.openxmlformats.org/officeDocument/2006/relationships/hyperlink" Target="https://en.wikipedia.org/wiki/Run_the_Jewels_3" TargetMode="External"/><Relationship Id="rId132" Type="http://schemas.openxmlformats.org/officeDocument/2006/relationships/hyperlink" Target="https://en.wikipedia.org/wiki/Juju_(Siouxsie_and_the_Banshees_album)" TargetMode="External"/><Relationship Id="rId153" Type="http://schemas.openxmlformats.org/officeDocument/2006/relationships/hyperlink" Target="https://open.spotify.com/playlist/49xb7l7CQ5GBjlchuZLT3A?si=TlW-FivORnyB99TJy3UG7w" TargetMode="External"/><Relationship Id="rId174" Type="http://schemas.openxmlformats.org/officeDocument/2006/relationships/hyperlink" Target="https://en.wikipedia.org/wiki/Major_Arcana_(album)" TargetMode="External"/><Relationship Id="rId179" Type="http://schemas.openxmlformats.org/officeDocument/2006/relationships/hyperlink" Target="https://www.reddit.com/r/indieheads/comments/xkztn6/redo_thursday_spoon/" TargetMode="External"/><Relationship Id="rId195" Type="http://schemas.openxmlformats.org/officeDocument/2006/relationships/hyperlink" Target="https://en.wikipedia.org/wiki/How_It_Feels_to_Be_Something_On" TargetMode="External"/><Relationship Id="rId209" Type="http://schemas.openxmlformats.org/officeDocument/2006/relationships/hyperlink" Target="https://en.wikipedia.org/wiki/Rings_Around_the_World" TargetMode="External"/><Relationship Id="rId190" Type="http://schemas.openxmlformats.org/officeDocument/2006/relationships/hyperlink" Target="https://open.spotify.com/playlist/0BE29SsLgOiw0PFE8ffpgo?si=7591509feb554a83" TargetMode="External"/><Relationship Id="rId204" Type="http://schemas.openxmlformats.org/officeDocument/2006/relationships/hyperlink" Target="https://en.wikipedia.org/wiki/Phantom_Power_(Super_Furry_Animals_album)" TargetMode="External"/><Relationship Id="rId220" Type="http://schemas.openxmlformats.org/officeDocument/2006/relationships/hyperlink" Target="https://en.wikipedia.org/wiki/Velocity_:_Design_:_Comfort" TargetMode="External"/><Relationship Id="rId225" Type="http://schemas.openxmlformats.org/officeDocument/2006/relationships/hyperlink" Target="https://open.spotify.com/user/swik12/playlist/1KRe4lF6oYdN1xbv5HVYPC?si=KYyQF0-yT--xo_uQon3-SQ" TargetMode="External"/><Relationship Id="rId15" Type="http://schemas.openxmlformats.org/officeDocument/2006/relationships/hyperlink" Target="https://en.wikipedia.org/wiki/Junta_(album)" TargetMode="External"/><Relationship Id="rId36" Type="http://schemas.openxmlformats.org/officeDocument/2006/relationships/hyperlink" Target="https://open.spotify.com/playlist/2bSKKWTvZSOEOOGbnPza1W?si=MdKlA7qDQGaf52OBaP_bnA" TargetMode="External"/><Relationship Id="rId57" Type="http://schemas.openxmlformats.org/officeDocument/2006/relationships/hyperlink" Target="https://en.wikipedia.org/wiki/Man_It_Feels_Like_Space_Again" TargetMode="External"/><Relationship Id="rId106" Type="http://schemas.openxmlformats.org/officeDocument/2006/relationships/hyperlink" Target="https://en.wikipedia.org/wiki/Run_the_Jewels_3" TargetMode="External"/><Relationship Id="rId127" Type="http://schemas.openxmlformats.org/officeDocument/2006/relationships/hyperlink" Target="https://open.spotify.com/playlist/1wIQxMkp1x9bnxMBAuDn8L?si=pxFMyWx7SZW-T7FpWVXA6Q" TargetMode="External"/><Relationship Id="rId10" Type="http://schemas.openxmlformats.org/officeDocument/2006/relationships/hyperlink" Target="https://en.wikipedia.org/wiki/Set_My_Heart_on_Fire_Immediately" TargetMode="External"/><Relationship Id="rId31" Type="http://schemas.openxmlformats.org/officeDocument/2006/relationships/hyperlink" Target="https://rateyourmusic.com/release/album/pile/magic-isnt-real/" TargetMode="External"/><Relationship Id="rId52" Type="http://schemas.openxmlformats.org/officeDocument/2006/relationships/hyperlink" Target="https://en.wikipedia.org/wiki/The_Weather_(Pond_album)" TargetMode="External"/><Relationship Id="rId73" Type="http://schemas.openxmlformats.org/officeDocument/2006/relationships/hyperlink" Target="https://www.reddit.com/r/indieheads/comments/zfyl1k/redo_thursday_radiohead/?utm_source=share&amp;utm_medium=ios_app&amp;utm_name=iossmf" TargetMode="External"/><Relationship Id="rId78" Type="http://schemas.openxmlformats.org/officeDocument/2006/relationships/hyperlink" Target="https://en.wikipedia.org/wiki/Classics_(Ratatat_album)" TargetMode="External"/><Relationship Id="rId94" Type="http://schemas.openxmlformats.org/officeDocument/2006/relationships/hyperlink" Target="https://en.wikipedia.org/wiki/Take_Offs_and_Landings" TargetMode="External"/><Relationship Id="rId99" Type="http://schemas.openxmlformats.org/officeDocument/2006/relationships/hyperlink" Target="https://en.wikipedia.org/wiki/The_Execution_of_All_Things" TargetMode="External"/><Relationship Id="rId101" Type="http://schemas.openxmlformats.org/officeDocument/2006/relationships/hyperlink" Target="https://www.reddit.com/r/indieheads/comments/n4s28n/top_ten_tuesday_run_the_jewels/" TargetMode="External"/><Relationship Id="rId122" Type="http://schemas.openxmlformats.org/officeDocument/2006/relationships/hyperlink" Target="https://en.wikipedia.org/wiki/Bakesale" TargetMode="External"/><Relationship Id="rId143" Type="http://schemas.openxmlformats.org/officeDocument/2006/relationships/hyperlink" Target="https://en.wikipedia.org/wiki/Treats_(album)" TargetMode="External"/><Relationship Id="rId148" Type="http://schemas.openxmlformats.org/officeDocument/2006/relationships/hyperlink" Target="https://en.wikipedia.org/wiki/Treats_(album)" TargetMode="External"/><Relationship Id="rId164" Type="http://schemas.openxmlformats.org/officeDocument/2006/relationships/hyperlink" Target="https://en.wikipedia.org/wiki/Oil_of_Every_Pearl%27s_Un-Insides" TargetMode="External"/><Relationship Id="rId169" Type="http://schemas.openxmlformats.org/officeDocument/2006/relationships/hyperlink" Target="https://www.reddit.com/r/indieheads/comments/oeu0h2/top_ten_tuesday_speedy_ortiz/" TargetMode="External"/><Relationship Id="rId185" Type="http://schemas.openxmlformats.org/officeDocument/2006/relationships/hyperlink" Target="https://open.spotify.com/playlist/5vCAPW65bFc8zWkBRHJjCM?si=Ky6tO3afT1SOTQeD7vqF5g" TargetMode="External"/><Relationship Id="rId4" Type="http://schemas.openxmlformats.org/officeDocument/2006/relationships/hyperlink" Target="https://www.reddit.com/r/indieheads/comments/uheeus/top_ten_tuesday_pavement/" TargetMode="External"/><Relationship Id="rId9" Type="http://schemas.openxmlformats.org/officeDocument/2006/relationships/hyperlink" Target="https://en.wikipedia.org/wiki/Set_My_Heart_on_Fire_Immediately" TargetMode="External"/><Relationship Id="rId180" Type="http://schemas.openxmlformats.org/officeDocument/2006/relationships/hyperlink" Target="https://www.reddit.com/r/indieheads/comments/yxnz12/redo_thursday_st_vincent/?utm_source=share&amp;utm_medium=ios_app&amp;utm_name=iossmf" TargetMode="External"/><Relationship Id="rId210" Type="http://schemas.openxmlformats.org/officeDocument/2006/relationships/hyperlink" Target="https://en.wikipedia.org/wiki/Radiator_(album)" TargetMode="External"/><Relationship Id="rId215" Type="http://schemas.openxmlformats.org/officeDocument/2006/relationships/hyperlink" Target="https://en.wikipedia.org/wiki/You_Will_Never_Know_Why" TargetMode="External"/><Relationship Id="rId26" Type="http://schemas.openxmlformats.org/officeDocument/2006/relationships/hyperlink" Target="https://rateyourmusic.com/release/album/pile/dripping/" TargetMode="External"/><Relationship Id="rId231" Type="http://schemas.openxmlformats.org/officeDocument/2006/relationships/hyperlink" Target="https://en.wikipedia.org/wiki/The_Magnolia_Electric_Co." TargetMode="External"/><Relationship Id="rId47" Type="http://schemas.openxmlformats.org/officeDocument/2006/relationships/hyperlink" Target="https://www.reddit.com/r/indieheads/comments/11ac09x/redo_thursday_pink_floyd/?utm_source=share&amp;utm_medium=ios_app&amp;utm_name=iossmf" TargetMode="External"/><Relationship Id="rId68" Type="http://schemas.openxmlformats.org/officeDocument/2006/relationships/hyperlink" Target="https://open.spotify.com/user/swik12/playlist/6QU2Ph1s3GH87VtFUQ5AIa?si=Ymk8NQXDQU2HBMNaMEMVDQ" TargetMode="External"/><Relationship Id="rId89" Type="http://schemas.openxmlformats.org/officeDocument/2006/relationships/hyperlink" Target="https://open.spotify.com/playlist/2cx8cigqTOt9DDkntzBIso?si=H6GsxjJpSXOqUTU_p1RYsw" TargetMode="External"/><Relationship Id="rId112" Type="http://schemas.openxmlformats.org/officeDocument/2006/relationships/hyperlink" Target="https://en.wikipedia.org/wiki/Run_the_Jewels_2" TargetMode="External"/><Relationship Id="rId133" Type="http://schemas.openxmlformats.org/officeDocument/2006/relationships/hyperlink" Target="https://en.wikipedia.org/wiki/Tinderbox_(Siouxsie_and_the_Banshees_album)" TargetMode="External"/><Relationship Id="rId154" Type="http://schemas.openxmlformats.org/officeDocument/2006/relationships/hyperlink" Target="https://open.spotify.com/playlist/7Bmc2HqVQ94G2IsROdO2uC?si=rhKRA688S1S2qZ97l7D4lg" TargetMode="External"/><Relationship Id="rId175" Type="http://schemas.openxmlformats.org/officeDocument/2006/relationships/hyperlink" Target="https://en.wikipedia.org/wiki/Foil_Deer" TargetMode="External"/><Relationship Id="rId196" Type="http://schemas.openxmlformats.org/officeDocument/2006/relationships/hyperlink" Target="https://en.wikipedia.org/wiki/Diary_(Sunny_Day_Real_Estate_album)" TargetMode="External"/><Relationship Id="rId200" Type="http://schemas.openxmlformats.org/officeDocument/2006/relationships/hyperlink" Target="https://en.wikipedia.org/wiki/How_It_Feels_to_Be_Something_On" TargetMode="External"/><Relationship Id="rId16" Type="http://schemas.openxmlformats.org/officeDocument/2006/relationships/hyperlink" Target="https://en.wikipedia.org/wiki/Lawn_Boy" TargetMode="External"/><Relationship Id="rId221" Type="http://schemas.openxmlformats.org/officeDocument/2006/relationships/hyperlink" Target="https://en.wikipedia.org/wiki/You_Will_Never_Know_Why" TargetMode="External"/><Relationship Id="rId37" Type="http://schemas.openxmlformats.org/officeDocument/2006/relationships/hyperlink" Target="https://en.wikipedia.org/wiki/Cardinal_(Pinegrove_album)" TargetMode="External"/><Relationship Id="rId58" Type="http://schemas.openxmlformats.org/officeDocument/2006/relationships/hyperlink" Target="https://en.wikipedia.org/wiki/Man_It_Feels_Like_Space_Again" TargetMode="External"/><Relationship Id="rId79" Type="http://schemas.openxmlformats.org/officeDocument/2006/relationships/hyperlink" Target="https://en.wikipedia.org/wiki/Classics_(Ratatat_album)" TargetMode="External"/><Relationship Id="rId102" Type="http://schemas.openxmlformats.org/officeDocument/2006/relationships/hyperlink" Target="https://open.spotify.com/playlist/1122KLtG12j1xtCmgEN1d6?si=6b4d31dff3544fa0" TargetMode="External"/><Relationship Id="rId123" Type="http://schemas.openxmlformats.org/officeDocument/2006/relationships/hyperlink" Target="https://en.wikipedia.org/wiki/Harmacy" TargetMode="External"/><Relationship Id="rId144" Type="http://schemas.openxmlformats.org/officeDocument/2006/relationships/hyperlink" Target="https://en.wikipedia.org/wiki/Treats_(album)" TargetMode="External"/><Relationship Id="rId90" Type="http://schemas.openxmlformats.org/officeDocument/2006/relationships/hyperlink" Target="https://en.wikipedia.org/wiki/The_Execution_of_All_Things" TargetMode="External"/><Relationship Id="rId165" Type="http://schemas.openxmlformats.org/officeDocument/2006/relationships/hyperlink" Target="https://en.wikipedia.org/wiki/Oil_of_Every_Pearl%27s_Un-Insides" TargetMode="External"/><Relationship Id="rId186" Type="http://schemas.openxmlformats.org/officeDocument/2006/relationships/hyperlink" Target="https://en.wikipedia.org/wiki/Carrie_%26_Lowell" TargetMode="External"/><Relationship Id="rId211" Type="http://schemas.openxmlformats.org/officeDocument/2006/relationships/hyperlink" Target="https://en.wikipedia.org/wiki/Phantom_Power_(Super_Furry_Animals_album)" TargetMode="External"/><Relationship Id="rId232" Type="http://schemas.openxmlformats.org/officeDocument/2006/relationships/hyperlink" Target="https://en.wikipedia.org/wiki/The_Lioness_(album)" TargetMode="External"/><Relationship Id="rId27" Type="http://schemas.openxmlformats.org/officeDocument/2006/relationships/hyperlink" Target="https://rateyourmusic.com/release/album/pile/dripping/" TargetMode="External"/><Relationship Id="rId48" Type="http://schemas.openxmlformats.org/officeDocument/2006/relationships/hyperlink" Target="https://reddit.com/r/indieheads/comments/11eceeq/top_ten_tuesday_placebo/?ref=share&amp;ref_source=link" TargetMode="External"/><Relationship Id="rId69" Type="http://schemas.openxmlformats.org/officeDocument/2006/relationships/hyperlink" Target="https://open.spotify.com/playlist/2Hbq5O6ZJq0ZG2TDfwajip?si=EcpjcBlCTPqd1PKseoNRpA" TargetMode="External"/><Relationship Id="rId113" Type="http://schemas.openxmlformats.org/officeDocument/2006/relationships/hyperlink" Target="https://open.spotify.com/user/swik12/playlist/1KRe4lF6oYdN1xbv5HVYPC?si=KYyQF0-yT--xo_uQon3-SQ" TargetMode="External"/><Relationship Id="rId134" Type="http://schemas.openxmlformats.org/officeDocument/2006/relationships/hyperlink" Target="https://en.wikipedia.org/wiki/Juju_(Siouxsie_and_the_Banshees_album)" TargetMode="External"/><Relationship Id="rId80" Type="http://schemas.openxmlformats.org/officeDocument/2006/relationships/hyperlink" Target="https://en.wikipedia.org/wiki/Classics_(Ratatat_album)" TargetMode="External"/><Relationship Id="rId155" Type="http://schemas.openxmlformats.org/officeDocument/2006/relationships/hyperlink" Target="https://open.spotify.com/user/swik12/playlist/336a42xTOJxTPrH7EaBwwv?si=IEG_Wx_ESs-prwOrREF7jg" TargetMode="External"/><Relationship Id="rId176" Type="http://schemas.openxmlformats.org/officeDocument/2006/relationships/hyperlink" Target="https://en.wikipedia.org/wiki/Major_Arcana_(album)" TargetMode="External"/><Relationship Id="rId197" Type="http://schemas.openxmlformats.org/officeDocument/2006/relationships/hyperlink" Target="https://en.wikipedia.org/wiki/Sunny_Day_Real_Estate_(album)" TargetMode="External"/><Relationship Id="rId201" Type="http://schemas.openxmlformats.org/officeDocument/2006/relationships/hyperlink" Target="https://www.reddit.com/r/indieheads/comments/jemtu9/top_ten_tuesday_super_furry_animals/" TargetMode="External"/><Relationship Id="rId222" Type="http://schemas.openxmlformats.org/officeDocument/2006/relationships/hyperlink" Target="https://en.wikipedia.org/wiki/Velocity_:_Design_:_Comfort" TargetMode="External"/><Relationship Id="rId17" Type="http://schemas.openxmlformats.org/officeDocument/2006/relationships/hyperlink" Target="https://en.wikipedia.org/wiki/A_Picture_of_Nectar" TargetMode="External"/><Relationship Id="rId38" Type="http://schemas.openxmlformats.org/officeDocument/2006/relationships/hyperlink" Target="https://en.wikipedia.org/wiki/Cardinal_(Pinegrove_album)" TargetMode="External"/><Relationship Id="rId59" Type="http://schemas.openxmlformats.org/officeDocument/2006/relationships/hyperlink" Target="https://en.wikipedia.org/wiki/Beard,_Wives,_Denim" TargetMode="External"/><Relationship Id="rId103" Type="http://schemas.openxmlformats.org/officeDocument/2006/relationships/hyperlink" Target="https://en.wikipedia.org/wiki/Run_the_Jewels_2" TargetMode="External"/><Relationship Id="rId124" Type="http://schemas.openxmlformats.org/officeDocument/2006/relationships/hyperlink" Target="https://en.wikipedia.org/wiki/Bakesale" TargetMode="External"/><Relationship Id="rId70" Type="http://schemas.openxmlformats.org/officeDocument/2006/relationships/hyperlink" Target="https://open.spotify.com/playlist/5Q9Brgrs6OHHn2sm1V9AIf?si=TuAL70bERMmxXA3kj-7h0w" TargetMode="External"/><Relationship Id="rId91" Type="http://schemas.openxmlformats.org/officeDocument/2006/relationships/hyperlink" Target="https://en.wikipedia.org/wiki/Take_Offs_and_Landings" TargetMode="External"/><Relationship Id="rId145" Type="http://schemas.openxmlformats.org/officeDocument/2006/relationships/hyperlink" Target="https://en.wikipedia.org/wiki/Treats_(album)" TargetMode="External"/><Relationship Id="rId166" Type="http://schemas.openxmlformats.org/officeDocument/2006/relationships/hyperlink" Target="https://en.wikipedia.org/wiki/Oil_of_Every_Pearl%27s_Un-Insides" TargetMode="External"/><Relationship Id="rId187" Type="http://schemas.openxmlformats.org/officeDocument/2006/relationships/hyperlink" Target="https://en.wikipedia.org/wiki/Carrie_%26_Lowell" TargetMode="External"/><Relationship Id="rId1" Type="http://schemas.openxmlformats.org/officeDocument/2006/relationships/hyperlink" Target="https://open.spotify.com/playlist/7t7DjCMm9Xg2GNeBtLEEjZ?si=YbIAuGL3TgC3-ZfzlXOqOQ" TargetMode="External"/><Relationship Id="rId212" Type="http://schemas.openxmlformats.org/officeDocument/2006/relationships/hyperlink" Target="https://www.reddit.com/r/indieheads/comments/syma95/top_ten_tuesday_sweet_trip/" TargetMode="External"/><Relationship Id="rId233" Type="http://schemas.openxmlformats.org/officeDocument/2006/relationships/hyperlink" Target="https://en.wikipedia.org/wiki/The_Magnolia_Electric_Co." TargetMode="External"/><Relationship Id="rId28" Type="http://schemas.openxmlformats.org/officeDocument/2006/relationships/hyperlink" Target="https://rateyourmusic.com/release/album/pile/dripping/" TargetMode="External"/><Relationship Id="rId49" Type="http://schemas.openxmlformats.org/officeDocument/2006/relationships/hyperlink" Target="https://www.reddit.com/r/indieheads/comments/l0jd2z/top_ten_tuesday_pond/" TargetMode="External"/><Relationship Id="rId114" Type="http://schemas.openxmlformats.org/officeDocument/2006/relationships/hyperlink" Target="https://www.reddit.com/r/indieheads/comments/ikj1kn/top_ten_tuesday_sebadoh/" TargetMode="External"/><Relationship Id="rId60" Type="http://schemas.openxmlformats.org/officeDocument/2006/relationships/hyperlink" Target="https://en.wikipedia.org/wiki/Hobo_Rocket" TargetMode="External"/><Relationship Id="rId81" Type="http://schemas.openxmlformats.org/officeDocument/2006/relationships/hyperlink" Target="https://en.wikipedia.org/wiki/Ratatat_(album)" TargetMode="External"/><Relationship Id="rId135" Type="http://schemas.openxmlformats.org/officeDocument/2006/relationships/hyperlink" Target="https://en.wikipedia.org/wiki/Juju_(Siouxsie_and_the_Banshees_album)" TargetMode="External"/><Relationship Id="rId156" Type="http://schemas.openxmlformats.org/officeDocument/2006/relationships/hyperlink" Target="https://www.reddit.com/r/indieheads/comments/lg3l58/top_ten_tuesday_sophie/" TargetMode="External"/><Relationship Id="rId177" Type="http://schemas.openxmlformats.org/officeDocument/2006/relationships/hyperlink" Target="https://en.wikipedia.org/wiki/Major_Arcana_(album)" TargetMode="External"/><Relationship Id="rId198" Type="http://schemas.openxmlformats.org/officeDocument/2006/relationships/hyperlink" Target="https://en.wikipedia.org/wiki/Sunny_Day_Real_Estate_(album)" TargetMode="External"/><Relationship Id="rId202" Type="http://schemas.openxmlformats.org/officeDocument/2006/relationships/hyperlink" Target="https://open.spotify.com/playlist/3tkyHp0cTS91gzXuuOSuaC?si=xajdxuFBSciu7u9sSKemOg" TargetMode="External"/><Relationship Id="rId223" Type="http://schemas.openxmlformats.org/officeDocument/2006/relationships/hyperlink" Target="https://en.wikipedia.org/wiki/Velocity_:_Design_:_Comfort" TargetMode="External"/><Relationship Id="rId18" Type="http://schemas.openxmlformats.org/officeDocument/2006/relationships/hyperlink" Target="https://en.wikipedia.org/wiki/Lawn_Boy" TargetMode="External"/><Relationship Id="rId39" Type="http://schemas.openxmlformats.org/officeDocument/2006/relationships/hyperlink" Target="https://en.wikipedia.org/wiki/Skylight_(Pinegrove_album)" TargetMode="External"/><Relationship Id="rId50" Type="http://schemas.openxmlformats.org/officeDocument/2006/relationships/hyperlink" Target="https://open.spotify.com/playlist/6wZkERDGP4E1n6HjN0Wmtd?si=e6UpAJXjQfCQO2h2XMzqhQ" TargetMode="External"/><Relationship Id="rId104" Type="http://schemas.openxmlformats.org/officeDocument/2006/relationships/hyperlink" Target="https://en.wikipedia.org/wiki/RTJ4" TargetMode="External"/><Relationship Id="rId125" Type="http://schemas.openxmlformats.org/officeDocument/2006/relationships/hyperlink" Target="https://en.wikipedia.org/wiki/Bakesale" TargetMode="External"/><Relationship Id="rId146" Type="http://schemas.openxmlformats.org/officeDocument/2006/relationships/hyperlink" Target="https://en.wikipedia.org/wiki/Treats_(album)" TargetMode="External"/><Relationship Id="rId167" Type="http://schemas.openxmlformats.org/officeDocument/2006/relationships/hyperlink" Target="https://en.wikipedia.org/wiki/Oil_of_Every_Pearl%27s_Un-Insides" TargetMode="External"/><Relationship Id="rId188" Type="http://schemas.openxmlformats.org/officeDocument/2006/relationships/hyperlink" Target="https://en.wikipedia.org/wiki/Carrie_%26_Lowell" TargetMode="External"/><Relationship Id="rId71" Type="http://schemas.openxmlformats.org/officeDocument/2006/relationships/hyperlink" Target="https://www.reddit.com/r/indieheads/comments/11g2j6g/redo_thursday_rem/?utm_source=share&amp;utm_medium=ios_app&amp;utm_name=iossmf" TargetMode="External"/><Relationship Id="rId92" Type="http://schemas.openxmlformats.org/officeDocument/2006/relationships/hyperlink" Target="https://en.wikipedia.org/wiki/More_Adventurous" TargetMode="External"/><Relationship Id="rId213" Type="http://schemas.openxmlformats.org/officeDocument/2006/relationships/hyperlink" Target="https://open.spotify.com/playlist/2FcljMk0RULYlYC0sFfPPv?si=c8cd34189b8e4d85" TargetMode="External"/><Relationship Id="rId234" Type="http://schemas.openxmlformats.org/officeDocument/2006/relationships/hyperlink" Target="https://en.wikipedia.org/wiki/The_Lioness_(album)" TargetMode="External"/><Relationship Id="rId2" Type="http://schemas.openxmlformats.org/officeDocument/2006/relationships/hyperlink" Target="https://open.spotify.com/playlist/3YC240CcQdiNuTECBftQwK?si=EobkU4vQQpmjeoY6VgwnVw" TargetMode="External"/><Relationship Id="rId29" Type="http://schemas.openxmlformats.org/officeDocument/2006/relationships/hyperlink" Target="https://rateyourmusic.com/release/album/pile/a-hairshirt-of-purpose/" TargetMode="External"/><Relationship Id="rId40" Type="http://schemas.openxmlformats.org/officeDocument/2006/relationships/hyperlink" Target="https://en.wikipedia.org/wiki/Cardinal_(Pinegrove_album)" TargetMode="External"/><Relationship Id="rId115" Type="http://schemas.openxmlformats.org/officeDocument/2006/relationships/hyperlink" Target="https://open.spotify.com/playlist/0qWWD3VpHt89wM9YRd5ZLZ?si=rGV56jEjTqapJBGzLSW1Gg" TargetMode="External"/><Relationship Id="rId136" Type="http://schemas.openxmlformats.org/officeDocument/2006/relationships/hyperlink" Target="https://en.wikipedia.org/wiki/Juju_(Siouxsie_and_the_Banshees_album)" TargetMode="External"/><Relationship Id="rId157" Type="http://schemas.openxmlformats.org/officeDocument/2006/relationships/hyperlink" Target="https://open.spotify.com/playlist/1LrOxnJVnnSqx4xabfywtw?si=wkVN1reETtCi45tEK1634g" TargetMode="External"/><Relationship Id="rId178" Type="http://schemas.openxmlformats.org/officeDocument/2006/relationships/hyperlink" Target="https://en.wikipedia.org/wiki/Major_Arcana_(album)" TargetMode="External"/><Relationship Id="rId61" Type="http://schemas.openxmlformats.org/officeDocument/2006/relationships/hyperlink" Target="https://open.spotify.com/playlist/0Z6UzhodVgC6VtH2FL5Hgb?si=Cnp9NP8qQgSaOr8cMZ8QSw" TargetMode="External"/><Relationship Id="rId82" Type="http://schemas.openxmlformats.org/officeDocument/2006/relationships/hyperlink" Target="https://en.wikipedia.org/wiki/Magnifique_(album)" TargetMode="External"/><Relationship Id="rId199" Type="http://schemas.openxmlformats.org/officeDocument/2006/relationships/hyperlink" Target="https://en.wikipedia.org/wiki/Diary_(Sunny_Day_Real_Estate_album)" TargetMode="External"/><Relationship Id="rId203" Type="http://schemas.openxmlformats.org/officeDocument/2006/relationships/hyperlink" Target="https://en.wikipedia.org/wiki/Rings_Around_the_World" TargetMode="External"/><Relationship Id="rId19" Type="http://schemas.openxmlformats.org/officeDocument/2006/relationships/hyperlink" Target="https://en.wikipedia.org/wiki/Phish_(album)" TargetMode="External"/><Relationship Id="rId224" Type="http://schemas.openxmlformats.org/officeDocument/2006/relationships/hyperlink" Target="https://www.reddit.com/r/indieheads/comments/zqp0px/top_ten_thursday_paul_mccartney/?utm_source=share&amp;utm_medium=ios_app&amp;utm_name=iossmf" TargetMode="External"/><Relationship Id="rId30" Type="http://schemas.openxmlformats.org/officeDocument/2006/relationships/hyperlink" Target="https://rateyourmusic.com/release/album/pile/green-and-gray/" TargetMode="External"/><Relationship Id="rId105" Type="http://schemas.openxmlformats.org/officeDocument/2006/relationships/hyperlink" Target="https://en.wikipedia.org/wiki/Run_the_Jewels_2" TargetMode="External"/><Relationship Id="rId126" Type="http://schemas.openxmlformats.org/officeDocument/2006/relationships/hyperlink" Target="https://open.spotify.com/playlist/4kZJF1FuepiGgP5ZUQwyOz?si=3y1EbLTKQWebsrV9NY-WhA" TargetMode="External"/><Relationship Id="rId147" Type="http://schemas.openxmlformats.org/officeDocument/2006/relationships/hyperlink" Target="https://en.wikipedia.org/wiki/Texis" TargetMode="External"/><Relationship Id="rId168" Type="http://schemas.openxmlformats.org/officeDocument/2006/relationships/hyperlink" Target="https://open.spotify.com/user/swik12/playlist/3OxtPUqH5OuuCy7gmSb1p6?si=Ew2pNx1IRTKVxHOCcBt1qQ" TargetMode="External"/><Relationship Id="rId51" Type="http://schemas.openxmlformats.org/officeDocument/2006/relationships/hyperlink" Target="https://en.wikipedia.org/wiki/Man_It_Feels_Like_Space_Again" TargetMode="External"/><Relationship Id="rId72" Type="http://schemas.openxmlformats.org/officeDocument/2006/relationships/hyperlink" Target="https://open.spotify.com/user/swik12/playlist/4gpFwkxbgstXd6RBqwNRHV?si=2jGwf6vnRpSPRJSEwEQqgA" TargetMode="External"/><Relationship Id="rId93" Type="http://schemas.openxmlformats.org/officeDocument/2006/relationships/hyperlink" Target="https://en.wikipedia.org/wiki/More_Adventurous" TargetMode="External"/><Relationship Id="rId189" Type="http://schemas.openxmlformats.org/officeDocument/2006/relationships/hyperlink" Target="https://www.reddit.com/r/indieheads/comments/s1c7hd/top_ten_tuesday_sunny_day_real_estate/" TargetMode="External"/><Relationship Id="rId3" Type="http://schemas.openxmlformats.org/officeDocument/2006/relationships/hyperlink" Target="https://www.reddit.com/r/indieheads/comments/zqp0px/top_ten_thursday_paul_mccartney/?utm_source=share&amp;utm_medium=ios_app&amp;utm_name=iossmf" TargetMode="External"/><Relationship Id="rId214" Type="http://schemas.openxmlformats.org/officeDocument/2006/relationships/hyperlink" Target="https://en.wikipedia.org/wiki/Velocity_:_Design_:_Comfort" TargetMode="External"/><Relationship Id="rId235" Type="http://schemas.openxmlformats.org/officeDocument/2006/relationships/hyperlink" Target="https://en.wikipedia.org/wiki/The_Lioness_(album)" TargetMode="External"/><Relationship Id="rId116" Type="http://schemas.openxmlformats.org/officeDocument/2006/relationships/hyperlink" Target="https://en.wikipedia.org/wiki/Weed_Forestin%27" TargetMode="External"/><Relationship Id="rId137" Type="http://schemas.openxmlformats.org/officeDocument/2006/relationships/hyperlink" Target="https://en.wikipedia.org/wiki/Kaleidoscope_(Siouxsie_and_the_Banshees_album)" TargetMode="External"/><Relationship Id="rId158" Type="http://schemas.openxmlformats.org/officeDocument/2006/relationships/hyperlink" Target="https://en.wikipedia.org/wiki/Oil_of_Every_Pearl%27s_Un-Insides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Titanic_Rising" TargetMode="External"/><Relationship Id="rId21" Type="http://schemas.openxmlformats.org/officeDocument/2006/relationships/hyperlink" Target="https://en.wikipedia.org/wiki/The_Eraser" TargetMode="External"/><Relationship Id="rId42" Type="http://schemas.openxmlformats.org/officeDocument/2006/relationships/hyperlink" Target="https://en.wikipedia.org/wiki/Little_Earthquakes" TargetMode="External"/><Relationship Id="rId63" Type="http://schemas.openxmlformats.org/officeDocument/2006/relationships/hyperlink" Target="https://open.spotify.com/user/swik12/playlist/5aYVEZxPEt18WQaOmBWV7v?si=zfNLKlT3TdSEXmdVKJ7LNw" TargetMode="External"/><Relationship Id="rId84" Type="http://schemas.openxmlformats.org/officeDocument/2006/relationships/hyperlink" Target="https://en.wikipedia.org/wiki/New_Plastic_Ideas" TargetMode="External"/><Relationship Id="rId138" Type="http://schemas.openxmlformats.org/officeDocument/2006/relationships/hyperlink" Target="https://en.wikipedia.org/wiki/The_Meadowlands_(album)" TargetMode="External"/><Relationship Id="rId107" Type="http://schemas.openxmlformats.org/officeDocument/2006/relationships/hyperlink" Target="https://en.wikipedia.org/wiki/American_Weekend" TargetMode="External"/><Relationship Id="rId11" Type="http://schemas.openxmlformats.org/officeDocument/2006/relationships/hyperlink" Target="https://en.wikipedia.org/wiki/The_Seeds_of_Love" TargetMode="External"/><Relationship Id="rId32" Type="http://schemas.openxmlformats.org/officeDocument/2006/relationships/hyperlink" Target="https://en.wikipedia.org/wiki/Ravedeath,_1972" TargetMode="External"/><Relationship Id="rId53" Type="http://schemas.openxmlformats.org/officeDocument/2006/relationships/hyperlink" Target="https://en.wikipedia.org/wiki/A_Laughing_Death_in_Meatspace" TargetMode="External"/><Relationship Id="rId74" Type="http://schemas.openxmlformats.org/officeDocument/2006/relationships/hyperlink" Target="https://www.reddit.com/r/indieheads/comments/hzcek8/top_ten_tuesday_unwound/" TargetMode="External"/><Relationship Id="rId128" Type="http://schemas.openxmlformats.org/officeDocument/2006/relationships/hyperlink" Target="https://open.spotify.com/playlist/4NyOB9Bg6GswhmAcb3H5Ox?si=NA-54Go-QbO-k5t4rbIUbw" TargetMode="External"/><Relationship Id="rId149" Type="http://schemas.openxmlformats.org/officeDocument/2006/relationships/hyperlink" Target="https://en.wikipedia.org/wiki/Heaven_to_a_Tortured_Mind" TargetMode="External"/><Relationship Id="rId5" Type="http://schemas.openxmlformats.org/officeDocument/2006/relationships/hyperlink" Target="https://open.spotify.com/playlist/1AmsNLmWmjvVyBrBpzuVHt?si=Ck8R0oEIRn290Da1Z-4J3A" TargetMode="External"/><Relationship Id="rId95" Type="http://schemas.openxmlformats.org/officeDocument/2006/relationships/hyperlink" Target="https://en.wikipedia.org/wiki/I_Don%27t_Live_Here_Anymore" TargetMode="External"/><Relationship Id="rId22" Type="http://schemas.openxmlformats.org/officeDocument/2006/relationships/hyperlink" Target="https://en.wikipedia.org/wiki/The_Eraser" TargetMode="External"/><Relationship Id="rId27" Type="http://schemas.openxmlformats.org/officeDocument/2006/relationships/hyperlink" Target="https://en.wikipedia.org/wiki/The_Eraser" TargetMode="External"/><Relationship Id="rId43" Type="http://schemas.openxmlformats.org/officeDocument/2006/relationships/hyperlink" Target="https://en.wikipedia.org/wiki/Under_the_Pink" TargetMode="External"/><Relationship Id="rId48" Type="http://schemas.openxmlformats.org/officeDocument/2006/relationships/hyperlink" Target="https://en.wikipedia.org/wiki/Scarlet%27s_Walk" TargetMode="External"/><Relationship Id="rId64" Type="http://schemas.openxmlformats.org/officeDocument/2006/relationships/hyperlink" Target="https://www.reddit.com/r/indieheads/comments/oa8wdb/top_ten_tuesday_twin_peaks/" TargetMode="External"/><Relationship Id="rId69" Type="http://schemas.openxmlformats.org/officeDocument/2006/relationships/hyperlink" Target="https://en.wikipedia.org/wiki/Wild_Onion_(album)" TargetMode="External"/><Relationship Id="rId113" Type="http://schemas.openxmlformats.org/officeDocument/2006/relationships/hyperlink" Target="https://open.spotify.com/playlist/1uomn9YAZjVAVv7nu6p8cQ?si=HvXyay29TJmBX1akW7TMGw" TargetMode="External"/><Relationship Id="rId118" Type="http://schemas.openxmlformats.org/officeDocument/2006/relationships/hyperlink" Target="https://en.wikipedia.org/wiki/Titanic_Rising" TargetMode="External"/><Relationship Id="rId134" Type="http://schemas.openxmlformats.org/officeDocument/2006/relationships/hyperlink" Target="https://en.wikipedia.org/wiki/The_Meadowlands_(album)" TargetMode="External"/><Relationship Id="rId139" Type="http://schemas.openxmlformats.org/officeDocument/2006/relationships/hyperlink" Target="https://en.wikipedia.org/wiki/Secaucus_(album)" TargetMode="External"/><Relationship Id="rId80" Type="http://schemas.openxmlformats.org/officeDocument/2006/relationships/hyperlink" Target="https://en.wikipedia.org/wiki/New_Plastic_Ideas" TargetMode="External"/><Relationship Id="rId85" Type="http://schemas.openxmlformats.org/officeDocument/2006/relationships/hyperlink" Target="https://en.wikipedia.org/wiki/New_Plastic_Ideas" TargetMode="External"/><Relationship Id="rId150" Type="http://schemas.openxmlformats.org/officeDocument/2006/relationships/hyperlink" Target="https://en.wikipedia.org/wiki/Safe_in_the_Hands_of_Love" TargetMode="External"/><Relationship Id="rId12" Type="http://schemas.openxmlformats.org/officeDocument/2006/relationships/hyperlink" Target="https://en.wikipedia.org/wiki/The_Seeds_of_Love" TargetMode="External"/><Relationship Id="rId17" Type="http://schemas.openxmlformats.org/officeDocument/2006/relationships/hyperlink" Target="https://www.reddit.com/r/indieheads/comments/i7prh9/top_ten_tuesday_thom_yorke/" TargetMode="External"/><Relationship Id="rId33" Type="http://schemas.openxmlformats.org/officeDocument/2006/relationships/hyperlink" Target="https://en.wikipedia.org/wiki/Ravedeath,_1972" TargetMode="External"/><Relationship Id="rId38" Type="http://schemas.openxmlformats.org/officeDocument/2006/relationships/hyperlink" Target="https://en.wikipedia.org/wiki/Ravedeath,_1972" TargetMode="External"/><Relationship Id="rId59" Type="http://schemas.openxmlformats.org/officeDocument/2006/relationships/hyperlink" Target="https://en.wikipedia.org/wiki/A_Laughing_Death_in_Meatspace" TargetMode="External"/><Relationship Id="rId103" Type="http://schemas.openxmlformats.org/officeDocument/2006/relationships/hyperlink" Target="https://en.wikipedia.org/wiki/Saint_Cloud_(album)" TargetMode="External"/><Relationship Id="rId108" Type="http://schemas.openxmlformats.org/officeDocument/2006/relationships/hyperlink" Target="https://en.wikipedia.org/wiki/Out_in_the_Storm" TargetMode="External"/><Relationship Id="rId124" Type="http://schemas.openxmlformats.org/officeDocument/2006/relationships/hyperlink" Target="https://open.spotify.com/playlist/6GKFMZ3DiEiTU1PZUbPlsg?si=545kD-lCSgGOGGbYm1ikJg" TargetMode="External"/><Relationship Id="rId129" Type="http://schemas.openxmlformats.org/officeDocument/2006/relationships/hyperlink" Target="https://www.reddit.com/r/indieheads/comments/qg5nc4/top_ten_tuesday_the_wrens/" TargetMode="External"/><Relationship Id="rId54" Type="http://schemas.openxmlformats.org/officeDocument/2006/relationships/hyperlink" Target="https://en.wikipedia.org/wiki/Braindrops" TargetMode="External"/><Relationship Id="rId70" Type="http://schemas.openxmlformats.org/officeDocument/2006/relationships/hyperlink" Target="https://en.wikipedia.org/wiki/Sunken_(album)" TargetMode="External"/><Relationship Id="rId75" Type="http://schemas.openxmlformats.org/officeDocument/2006/relationships/hyperlink" Target="https://open.spotify.com/playlist/7s4fbr4PRA10k8mPC21Ma7?si=NERWGuqZR2Wq8dFXeAx8XQ" TargetMode="External"/><Relationship Id="rId91" Type="http://schemas.openxmlformats.org/officeDocument/2006/relationships/hyperlink" Target="https://open.spotify.com/playlist/3XXWMUxFxLTCSHRLKYFsI1?si=52f5324d020a4fd5" TargetMode="External"/><Relationship Id="rId96" Type="http://schemas.openxmlformats.org/officeDocument/2006/relationships/hyperlink" Target="https://en.wikipedia.org/wiki/I_Don%27t_Live_Here_Anymore" TargetMode="External"/><Relationship Id="rId140" Type="http://schemas.openxmlformats.org/officeDocument/2006/relationships/hyperlink" Target="https://en.wikipedia.org/wiki/The_Meadowlands_(album)" TargetMode="External"/><Relationship Id="rId145" Type="http://schemas.openxmlformats.org/officeDocument/2006/relationships/hyperlink" Target="https://en.wikipedia.org/wiki/Safe_in_the_Hands_of_Love" TargetMode="External"/><Relationship Id="rId1" Type="http://schemas.openxmlformats.org/officeDocument/2006/relationships/hyperlink" Target="https://www.reddit.com/r/indieheads/comments/twsvbu/top_ten_tuesday_talking_heads/" TargetMode="External"/><Relationship Id="rId6" Type="http://schemas.openxmlformats.org/officeDocument/2006/relationships/hyperlink" Target="https://en.wikipedia.org/wiki/Songs_from_the_Big_Chair" TargetMode="External"/><Relationship Id="rId23" Type="http://schemas.openxmlformats.org/officeDocument/2006/relationships/hyperlink" Target="https://en.wikipedia.org/wiki/Anima_(Thom_Yorke_album)" TargetMode="External"/><Relationship Id="rId28" Type="http://schemas.openxmlformats.org/officeDocument/2006/relationships/hyperlink" Target="https://www.reddit.com/r/indieheads/comments/osnj6b/top_ten_tuesday_tim_hecker/" TargetMode="External"/><Relationship Id="rId49" Type="http://schemas.openxmlformats.org/officeDocument/2006/relationships/hyperlink" Target="https://en.wikipedia.org/wiki/To_Venus_and_Back" TargetMode="External"/><Relationship Id="rId114" Type="http://schemas.openxmlformats.org/officeDocument/2006/relationships/hyperlink" Target="https://en.wikipedia.org/wiki/Titanic_Rising" TargetMode="External"/><Relationship Id="rId119" Type="http://schemas.openxmlformats.org/officeDocument/2006/relationships/hyperlink" Target="https://en.wikipedia.org/wiki/Titanic_Rising" TargetMode="External"/><Relationship Id="rId44" Type="http://schemas.openxmlformats.org/officeDocument/2006/relationships/hyperlink" Target="https://en.wikipedia.org/wiki/Boys_for_Pele" TargetMode="External"/><Relationship Id="rId60" Type="http://schemas.openxmlformats.org/officeDocument/2006/relationships/hyperlink" Target="https://en.wikipedia.org/wiki/Braindrops" TargetMode="External"/><Relationship Id="rId65" Type="http://schemas.openxmlformats.org/officeDocument/2006/relationships/hyperlink" Target="https://open.spotify.com/playlist/2x94qHLxWiwhN4ZlHppAxk?si=7ca2b1a791a04551" TargetMode="External"/><Relationship Id="rId81" Type="http://schemas.openxmlformats.org/officeDocument/2006/relationships/hyperlink" Target="https://en.wikipedia.org/wiki/Fake_Train" TargetMode="External"/><Relationship Id="rId86" Type="http://schemas.openxmlformats.org/officeDocument/2006/relationships/hyperlink" Target="https://open.spotify.com/playlist/7b1TIfHQEuVvJ2WNGN7Jro?si=qxH8trwuS4CK7ieN35NX3A" TargetMode="External"/><Relationship Id="rId130" Type="http://schemas.openxmlformats.org/officeDocument/2006/relationships/hyperlink" Target="https://open.spotify.com/playlist/1kPoy89Wjj6PPwckRyTgyO?si=dded4d38b2264bf8" TargetMode="External"/><Relationship Id="rId135" Type="http://schemas.openxmlformats.org/officeDocument/2006/relationships/hyperlink" Target="https://en.wikipedia.org/wiki/The_Meadowlands_(album)" TargetMode="External"/><Relationship Id="rId151" Type="http://schemas.openxmlformats.org/officeDocument/2006/relationships/hyperlink" Target="https://rateyourmusic.com/release/album/yves-tumor/when-man-fails-you/" TargetMode="External"/><Relationship Id="rId13" Type="http://schemas.openxmlformats.org/officeDocument/2006/relationships/hyperlink" Target="https://en.wikipedia.org/wiki/Songs_from_the_Big_Chair" TargetMode="External"/><Relationship Id="rId18" Type="http://schemas.openxmlformats.org/officeDocument/2006/relationships/hyperlink" Target="https://open.spotify.com/playlist/3K83FizUCq8XoWMRYEYRAt?si=ZRLZzQ5KQY-L01d7oVT-PA" TargetMode="External"/><Relationship Id="rId39" Type="http://schemas.openxmlformats.org/officeDocument/2006/relationships/hyperlink" Target="https://www.reddit.com/r/indieheads/comments/y7pm8n/top_ten_tuesday_tool/" TargetMode="External"/><Relationship Id="rId109" Type="http://schemas.openxmlformats.org/officeDocument/2006/relationships/hyperlink" Target="https://en.wikipedia.org/wiki/Ivy_Tripp" TargetMode="External"/><Relationship Id="rId34" Type="http://schemas.openxmlformats.org/officeDocument/2006/relationships/hyperlink" Target="https://en.wikipedia.org/wiki/Virgins_(album)" TargetMode="External"/><Relationship Id="rId50" Type="http://schemas.openxmlformats.org/officeDocument/2006/relationships/hyperlink" Target="https://en.wikipedia.org/wiki/Boys_for_Pele" TargetMode="External"/><Relationship Id="rId55" Type="http://schemas.openxmlformats.org/officeDocument/2006/relationships/hyperlink" Target="https://en.wikipedia.org/wiki/Braindrops" TargetMode="External"/><Relationship Id="rId76" Type="http://schemas.openxmlformats.org/officeDocument/2006/relationships/hyperlink" Target="https://en.wikipedia.org/wiki/Leaves_Turn_Inside_You" TargetMode="External"/><Relationship Id="rId97" Type="http://schemas.openxmlformats.org/officeDocument/2006/relationships/hyperlink" Target="https://open.spotify.com/user/swik12/playlist/31ojBsTs8ZyDmkNHHK0ENH?si=w0vL1lXZRnW3BEjpxH2Tkg" TargetMode="External"/><Relationship Id="rId104" Type="http://schemas.openxmlformats.org/officeDocument/2006/relationships/hyperlink" Target="https://en.wikipedia.org/wiki/Saint_Cloud_(album)" TargetMode="External"/><Relationship Id="rId120" Type="http://schemas.openxmlformats.org/officeDocument/2006/relationships/hyperlink" Target="https://en.wikipedia.org/wiki/Front_Row_Seat_to_Earth" TargetMode="External"/><Relationship Id="rId125" Type="http://schemas.openxmlformats.org/officeDocument/2006/relationships/hyperlink" Target="https://open.spotify.com/user/swik12/playlist/5YEon4E3cruLG0jSMorzgZ?si=UiPXEWjJSIyJ4mbysWq9lw" TargetMode="External"/><Relationship Id="rId141" Type="http://schemas.openxmlformats.org/officeDocument/2006/relationships/hyperlink" Target="https://open.spotify.com/user/swik12/playlist/1SdUvCAExFoW9KN4NohAqz?si=wPL2GnvJRIGEUFNsOwxqVw" TargetMode="External"/><Relationship Id="rId146" Type="http://schemas.openxmlformats.org/officeDocument/2006/relationships/hyperlink" Target="https://en.wikipedia.org/wiki/Heaven_to_a_Tortured_Mind" TargetMode="External"/><Relationship Id="rId7" Type="http://schemas.openxmlformats.org/officeDocument/2006/relationships/hyperlink" Target="https://en.wikipedia.org/wiki/Songs_from_the_Big_Chair" TargetMode="External"/><Relationship Id="rId71" Type="http://schemas.openxmlformats.org/officeDocument/2006/relationships/hyperlink" Target="https://en.wikipedia.org/wiki/Down_in_Heaven" TargetMode="External"/><Relationship Id="rId92" Type="http://schemas.openxmlformats.org/officeDocument/2006/relationships/hyperlink" Target="https://en.wikipedia.org/wiki/A_Deeper_Understanding" TargetMode="External"/><Relationship Id="rId2" Type="http://schemas.openxmlformats.org/officeDocument/2006/relationships/hyperlink" Target="https://open.spotify.com/playlist/3vag978TKd2CuFOyNIKzNV?si=2rI3HimMSLqOmEp374dbjg" TargetMode="External"/><Relationship Id="rId29" Type="http://schemas.openxmlformats.org/officeDocument/2006/relationships/hyperlink" Target="https://en.wikipedia.org/wiki/Virgins_(album)" TargetMode="External"/><Relationship Id="rId24" Type="http://schemas.openxmlformats.org/officeDocument/2006/relationships/hyperlink" Target="https://en.wikipedia.org/wiki/The_Eraser" TargetMode="External"/><Relationship Id="rId40" Type="http://schemas.openxmlformats.org/officeDocument/2006/relationships/hyperlink" Target="https://www.reddit.com/r/indieheads/comments/pjocao/top_ten_tuesday_tori_amos/" TargetMode="External"/><Relationship Id="rId45" Type="http://schemas.openxmlformats.org/officeDocument/2006/relationships/hyperlink" Target="https://en.wikipedia.org/wiki/From_the_Choirgirl_Hotel" TargetMode="External"/><Relationship Id="rId66" Type="http://schemas.openxmlformats.org/officeDocument/2006/relationships/hyperlink" Target="https://en.wikipedia.org/wiki/Wild_Onion_(album)" TargetMode="External"/><Relationship Id="rId87" Type="http://schemas.openxmlformats.org/officeDocument/2006/relationships/hyperlink" Target="https://open.spotify.com/playlist/3wkh7Hh1NmiVQcSSwFsuFO?si=5y-Xb7FSRiafcoPWsdiX5Q" TargetMode="External"/><Relationship Id="rId110" Type="http://schemas.openxmlformats.org/officeDocument/2006/relationships/hyperlink" Target="https://rateyourmusic.com/release/ep/waxahatchee/great-thunder/" TargetMode="External"/><Relationship Id="rId115" Type="http://schemas.openxmlformats.org/officeDocument/2006/relationships/hyperlink" Target="https://en.wikipedia.org/wiki/Titanic_Rising" TargetMode="External"/><Relationship Id="rId131" Type="http://schemas.openxmlformats.org/officeDocument/2006/relationships/hyperlink" Target="https://en.wikipedia.org/wiki/The_Meadowlands_(album)" TargetMode="External"/><Relationship Id="rId136" Type="http://schemas.openxmlformats.org/officeDocument/2006/relationships/hyperlink" Target="https://en.wikipedia.org/wiki/The_Meadowlands_(album)" TargetMode="External"/><Relationship Id="rId61" Type="http://schemas.openxmlformats.org/officeDocument/2006/relationships/hyperlink" Target="https://en.wikipedia.org/wiki/A_Laughing_Death_in_Meatspace" TargetMode="External"/><Relationship Id="rId82" Type="http://schemas.openxmlformats.org/officeDocument/2006/relationships/hyperlink" Target="https://en.wikipedia.org/wiki/Repetition_(Unwound_album)" TargetMode="External"/><Relationship Id="rId152" Type="http://schemas.openxmlformats.org/officeDocument/2006/relationships/hyperlink" Target="https://en.wikipedia.org/wiki/Heaven_to_a_Tortured_Mind" TargetMode="External"/><Relationship Id="rId19" Type="http://schemas.openxmlformats.org/officeDocument/2006/relationships/hyperlink" Target="https://en.wikipedia.org/wiki/Anima_(Thom_Yorke_album)" TargetMode="External"/><Relationship Id="rId14" Type="http://schemas.openxmlformats.org/officeDocument/2006/relationships/hyperlink" Target="https://en.wikipedia.org/wiki/The_Hurting" TargetMode="External"/><Relationship Id="rId30" Type="http://schemas.openxmlformats.org/officeDocument/2006/relationships/hyperlink" Target="https://en.wikipedia.org/wiki/Harmony_in_Ultraviolet" TargetMode="External"/><Relationship Id="rId35" Type="http://schemas.openxmlformats.org/officeDocument/2006/relationships/hyperlink" Target="https://en.wikipedia.org/wiki/Virgins_(album)" TargetMode="External"/><Relationship Id="rId56" Type="http://schemas.openxmlformats.org/officeDocument/2006/relationships/hyperlink" Target="https://en.wikipedia.org/wiki/A_Laughing_Death_in_Meatspace" TargetMode="External"/><Relationship Id="rId77" Type="http://schemas.openxmlformats.org/officeDocument/2006/relationships/hyperlink" Target="https://en.wikipedia.org/wiki/Leaves_Turn_Inside_You" TargetMode="External"/><Relationship Id="rId100" Type="http://schemas.openxmlformats.org/officeDocument/2006/relationships/hyperlink" Target="https://open.spotify.com/playlist/5DUHmi7zgFhb6lgwGWiqVC?si=eVIYeIi-TXagGhtE8YqOrg" TargetMode="External"/><Relationship Id="rId105" Type="http://schemas.openxmlformats.org/officeDocument/2006/relationships/hyperlink" Target="https://en.wikipedia.org/wiki/Out_in_the_Storm" TargetMode="External"/><Relationship Id="rId126" Type="http://schemas.openxmlformats.org/officeDocument/2006/relationships/hyperlink" Target="https://open.spotify.com/playlist/3Ga1mmEcLs0hDFXBfPSCLE?si=6EPvxxTYSsa9CjTIRg6Ocg" TargetMode="External"/><Relationship Id="rId147" Type="http://schemas.openxmlformats.org/officeDocument/2006/relationships/hyperlink" Target="https://en.wikipedia.org/wiki/Heaven_to_a_Tortured_Mind" TargetMode="External"/><Relationship Id="rId8" Type="http://schemas.openxmlformats.org/officeDocument/2006/relationships/hyperlink" Target="https://en.wikipedia.org/wiki/Songs_from_the_Big_Chair" TargetMode="External"/><Relationship Id="rId51" Type="http://schemas.openxmlformats.org/officeDocument/2006/relationships/hyperlink" Target="https://www.reddit.com/r/indieheads/comments/umijsl/top_ten_tuesday_tropical_fuck_storm/" TargetMode="External"/><Relationship Id="rId72" Type="http://schemas.openxmlformats.org/officeDocument/2006/relationships/hyperlink" Target="https://en.wikipedia.org/wiki/Sunken_(album)" TargetMode="External"/><Relationship Id="rId93" Type="http://schemas.openxmlformats.org/officeDocument/2006/relationships/hyperlink" Target="https://en.wikipedia.org/wiki/A_Deeper_Understanding" TargetMode="External"/><Relationship Id="rId98" Type="http://schemas.openxmlformats.org/officeDocument/2006/relationships/hyperlink" Target="https://open.spotify.com/user/swik12/playlist/4FfltjkPFNWKJx7gZAoKWT?si=zmV2m22iQimknAbWlOIT2Q" TargetMode="External"/><Relationship Id="rId121" Type="http://schemas.openxmlformats.org/officeDocument/2006/relationships/hyperlink" Target="https://en.wikipedia.org/wiki/Front_Row_Seat_to_Earth" TargetMode="External"/><Relationship Id="rId142" Type="http://schemas.openxmlformats.org/officeDocument/2006/relationships/hyperlink" Target="https://open.spotify.com/user/swik12/playlist/5YPmQgAALSjkCRspTIy6no?si=HgTC6JuJSNGN1ZW3QfdVOA" TargetMode="External"/><Relationship Id="rId3" Type="http://schemas.openxmlformats.org/officeDocument/2006/relationships/hyperlink" Target="https://en.wikipedia.org/wiki/Little_Creatures" TargetMode="External"/><Relationship Id="rId25" Type="http://schemas.openxmlformats.org/officeDocument/2006/relationships/hyperlink" Target="https://en.wikipedia.org/wiki/Anima_(Thom_Yorke_album)" TargetMode="External"/><Relationship Id="rId46" Type="http://schemas.openxmlformats.org/officeDocument/2006/relationships/hyperlink" Target="https://en.wikipedia.org/wiki/Little_Earthquakes" TargetMode="External"/><Relationship Id="rId67" Type="http://schemas.openxmlformats.org/officeDocument/2006/relationships/hyperlink" Target="https://en.wikipedia.org/wiki/Down_in_Heaven" TargetMode="External"/><Relationship Id="rId116" Type="http://schemas.openxmlformats.org/officeDocument/2006/relationships/hyperlink" Target="https://en.wikipedia.org/wiki/Titanic_Rising" TargetMode="External"/><Relationship Id="rId137" Type="http://schemas.openxmlformats.org/officeDocument/2006/relationships/hyperlink" Target="https://en.wikipedia.org/wiki/Secaucus_(album)" TargetMode="External"/><Relationship Id="rId20" Type="http://schemas.openxmlformats.org/officeDocument/2006/relationships/hyperlink" Target="https://en.wikipedia.org/wiki/Suspiria_(2018_soundtrack)" TargetMode="External"/><Relationship Id="rId41" Type="http://schemas.openxmlformats.org/officeDocument/2006/relationships/hyperlink" Target="https://open.spotify.com/playlist/3EzIwVMbo8EOsVL1kIpqGQ?si=30ed738b978d4024" TargetMode="External"/><Relationship Id="rId62" Type="http://schemas.openxmlformats.org/officeDocument/2006/relationships/hyperlink" Target="https://en.wikipedia.org/wiki/Braindrops" TargetMode="External"/><Relationship Id="rId83" Type="http://schemas.openxmlformats.org/officeDocument/2006/relationships/hyperlink" Target="https://en.wikipedia.org/wiki/Repetition_(Unwound_album)" TargetMode="External"/><Relationship Id="rId88" Type="http://schemas.openxmlformats.org/officeDocument/2006/relationships/hyperlink" Target="https://www.reddit.com/r/indieheads/comments/10xx1sj/redo_thursday_the_velvet_underground/?utm_source=share&amp;utm_medium=ios_app&amp;utm_name=iossmf" TargetMode="External"/><Relationship Id="rId111" Type="http://schemas.openxmlformats.org/officeDocument/2006/relationships/hyperlink" Target="https://open.spotify.com/user/swik12/playlist/02cO4aYqOZ7PsJqAfwarst?si=hhI39isQSs6k_l8nTHHmLg" TargetMode="External"/><Relationship Id="rId132" Type="http://schemas.openxmlformats.org/officeDocument/2006/relationships/hyperlink" Target="https://en.wikipedia.org/wiki/The_Meadowlands_(album)" TargetMode="External"/><Relationship Id="rId153" Type="http://schemas.openxmlformats.org/officeDocument/2006/relationships/hyperlink" Target="https://en.wikipedia.org/wiki/Safe_in_the_Hands_of_Love" TargetMode="External"/><Relationship Id="rId15" Type="http://schemas.openxmlformats.org/officeDocument/2006/relationships/hyperlink" Target="https://en.wikipedia.org/wiki/Songs_from_the_Big_Chair" TargetMode="External"/><Relationship Id="rId36" Type="http://schemas.openxmlformats.org/officeDocument/2006/relationships/hyperlink" Target="https://en.wikipedia.org/wiki/Ravedeath,_1972" TargetMode="External"/><Relationship Id="rId57" Type="http://schemas.openxmlformats.org/officeDocument/2006/relationships/hyperlink" Target="https://en.wikipedia.org/wiki/Braindrops" TargetMode="External"/><Relationship Id="rId106" Type="http://schemas.openxmlformats.org/officeDocument/2006/relationships/hyperlink" Target="https://en.wikipedia.org/wiki/Cerulean_Salt" TargetMode="External"/><Relationship Id="rId127" Type="http://schemas.openxmlformats.org/officeDocument/2006/relationships/hyperlink" Target="https://open.spotify.com/user/swik12/playlist/4DKXUkP4pJgeDRfIU09K4K?si=0yledv0MQ--ICLuZKYaoHg" TargetMode="External"/><Relationship Id="rId10" Type="http://schemas.openxmlformats.org/officeDocument/2006/relationships/hyperlink" Target="https://en.wikipedia.org/wiki/The_Hurting" TargetMode="External"/><Relationship Id="rId31" Type="http://schemas.openxmlformats.org/officeDocument/2006/relationships/hyperlink" Target="https://en.wikipedia.org/wiki/Virgins_(album)" TargetMode="External"/><Relationship Id="rId52" Type="http://schemas.openxmlformats.org/officeDocument/2006/relationships/hyperlink" Target="https://open.spotify.com/playlist/4sg1M25KZyh2tR3qHijE4w?si=fc259183534c4b84" TargetMode="External"/><Relationship Id="rId73" Type="http://schemas.openxmlformats.org/officeDocument/2006/relationships/hyperlink" Target="https://open.spotify.com/playlist/4TtvkNxy7YxivbymKwzy35?si=Vynk2TfjT5u0OBqVsUyLFg" TargetMode="External"/><Relationship Id="rId78" Type="http://schemas.openxmlformats.org/officeDocument/2006/relationships/hyperlink" Target="https://en.wikipedia.org/wiki/Leaves_Turn_Inside_You" TargetMode="External"/><Relationship Id="rId94" Type="http://schemas.openxmlformats.org/officeDocument/2006/relationships/hyperlink" Target="https://en.wikipedia.org/wiki/A_Deeper_Understanding" TargetMode="External"/><Relationship Id="rId99" Type="http://schemas.openxmlformats.org/officeDocument/2006/relationships/hyperlink" Target="https://www.reddit.com/r/indieheads/comments/kdkdxb/top_ten_tuesday_waxahatchee/" TargetMode="External"/><Relationship Id="rId101" Type="http://schemas.openxmlformats.org/officeDocument/2006/relationships/hyperlink" Target="https://en.wikipedia.org/wiki/Saint_Cloud_(album)" TargetMode="External"/><Relationship Id="rId122" Type="http://schemas.openxmlformats.org/officeDocument/2006/relationships/hyperlink" Target="https://en.wikipedia.org/wiki/Front_Row_Seat_to_Earth" TargetMode="External"/><Relationship Id="rId143" Type="http://schemas.openxmlformats.org/officeDocument/2006/relationships/hyperlink" Target="https://www.reddit.com/r/indieheads/comments/o5mypg/top_ten_tuesday_yves_tumor/" TargetMode="External"/><Relationship Id="rId148" Type="http://schemas.openxmlformats.org/officeDocument/2006/relationships/hyperlink" Target="https://en.wikipedia.org/wiki/Safe_in_the_Hands_of_Love" TargetMode="External"/><Relationship Id="rId4" Type="http://schemas.openxmlformats.org/officeDocument/2006/relationships/hyperlink" Target="https://www.reddit.com/r/indieheads/comments/m67fgf/top_ten_tuesday_tears_for_fears/" TargetMode="External"/><Relationship Id="rId9" Type="http://schemas.openxmlformats.org/officeDocument/2006/relationships/hyperlink" Target="https://en.wikipedia.org/wiki/The_Hurting" TargetMode="External"/><Relationship Id="rId26" Type="http://schemas.openxmlformats.org/officeDocument/2006/relationships/hyperlink" Target="https://en.wikipedia.org/wiki/Anima_(Thom_Yorke_album)" TargetMode="External"/><Relationship Id="rId47" Type="http://schemas.openxmlformats.org/officeDocument/2006/relationships/hyperlink" Target="https://en.wikipedia.org/wiki/Boys_for_Pele" TargetMode="External"/><Relationship Id="rId68" Type="http://schemas.openxmlformats.org/officeDocument/2006/relationships/hyperlink" Target="https://en.wikipedia.org/wiki/Down_in_Heaven" TargetMode="External"/><Relationship Id="rId89" Type="http://schemas.openxmlformats.org/officeDocument/2006/relationships/hyperlink" Target="https://open.spotify.com/user/swik12/playlist/5ChtgKnovxTDWb7A0kJkEQ?si=CYmnr6R1S1WnlEtC1G0mrw" TargetMode="External"/><Relationship Id="rId112" Type="http://schemas.openxmlformats.org/officeDocument/2006/relationships/hyperlink" Target="https://www.reddit.com/r/indieheads/comments/gdvg31/top_ten_tuesday_weyes_blood/" TargetMode="External"/><Relationship Id="rId133" Type="http://schemas.openxmlformats.org/officeDocument/2006/relationships/hyperlink" Target="https://en.wikipedia.org/wiki/The_Meadowlands_(album)" TargetMode="External"/><Relationship Id="rId154" Type="http://schemas.openxmlformats.org/officeDocument/2006/relationships/hyperlink" Target="https://en.wikipedia.org/wiki/Heaven_to_a_Tortured_Mind" TargetMode="External"/><Relationship Id="rId16" Type="http://schemas.openxmlformats.org/officeDocument/2006/relationships/hyperlink" Target="https://open.spotify.com/playlist/3MyQHaCbJ0TMh9JmZFADh5?si=Rue0-Ga2TAeyeUk0tPNUMA" TargetMode="External"/><Relationship Id="rId37" Type="http://schemas.openxmlformats.org/officeDocument/2006/relationships/hyperlink" Target="https://en.wikipedia.org/wiki/Radio_Amor" TargetMode="External"/><Relationship Id="rId58" Type="http://schemas.openxmlformats.org/officeDocument/2006/relationships/hyperlink" Target="https://en.wikipedia.org/wiki/A_Laughing_Death_in_Meatspace" TargetMode="External"/><Relationship Id="rId79" Type="http://schemas.openxmlformats.org/officeDocument/2006/relationships/hyperlink" Target="https://en.wikipedia.org/wiki/Repetition_(Unwound_album)" TargetMode="External"/><Relationship Id="rId102" Type="http://schemas.openxmlformats.org/officeDocument/2006/relationships/hyperlink" Target="https://en.wikipedia.org/wiki/Out_in_the_Storm" TargetMode="External"/><Relationship Id="rId123" Type="http://schemas.openxmlformats.org/officeDocument/2006/relationships/hyperlink" Target="https://en.wikipedia.org/wiki/Titanic_Rising" TargetMode="External"/><Relationship Id="rId144" Type="http://schemas.openxmlformats.org/officeDocument/2006/relationships/hyperlink" Target="https://open.spotify.com/playlist/2w4UYtWyEQmFOPfvv3DiFc?si=3b6489b199ba43ae" TargetMode="External"/><Relationship Id="rId90" Type="http://schemas.openxmlformats.org/officeDocument/2006/relationships/hyperlink" Target="https://www.reddit.com/r/indieheads/comments/t4am9h/top_ten_tuesday_the_war_on_drug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758"/>
  <sheetViews>
    <sheetView tabSelected="1" topLeftCell="A395" workbookViewId="0">
      <selection activeCell="A408" sqref="A408"/>
    </sheetView>
  </sheetViews>
  <sheetFormatPr defaultColWidth="12.5703125" defaultRowHeight="15.75" customHeight="1"/>
  <cols>
    <col min="1" max="1" width="52.42578125" customWidth="1"/>
    <col min="3" max="3" width="55.5703125" customWidth="1"/>
  </cols>
  <sheetData>
    <row r="1" spans="1:4" ht="12.75">
      <c r="A1" s="155"/>
      <c r="B1" s="156"/>
      <c r="C1" s="156"/>
      <c r="D1" s="156"/>
    </row>
    <row r="2" spans="1:4" ht="15.75" customHeight="1">
      <c r="A2" s="2" t="s">
        <v>0</v>
      </c>
      <c r="B2" s="3">
        <v>44096</v>
      </c>
      <c r="C2" s="4"/>
      <c r="D2" s="5" t="s">
        <v>1</v>
      </c>
    </row>
    <row r="3" spans="1:4" ht="12.75">
      <c r="A3" s="6" t="s">
        <v>2</v>
      </c>
      <c r="B3" s="6" t="s">
        <v>3</v>
      </c>
      <c r="C3" s="6" t="s">
        <v>4</v>
      </c>
      <c r="D3" s="6" t="s">
        <v>5</v>
      </c>
    </row>
    <row r="4" spans="1:4" ht="12.75">
      <c r="A4" s="7" t="s">
        <v>6</v>
      </c>
      <c r="B4" s="8">
        <v>560</v>
      </c>
      <c r="C4" s="9" t="s">
        <v>7</v>
      </c>
      <c r="D4" s="7">
        <v>2018</v>
      </c>
    </row>
    <row r="5" spans="1:4" ht="12.75">
      <c r="A5" s="10" t="s">
        <v>8</v>
      </c>
      <c r="B5" s="11">
        <v>416</v>
      </c>
      <c r="C5" s="12" t="s">
        <v>0</v>
      </c>
      <c r="D5" s="10">
        <v>2013</v>
      </c>
    </row>
    <row r="6" spans="1:4" ht="12.75">
      <c r="A6" s="7" t="s">
        <v>9</v>
      </c>
      <c r="B6" s="8">
        <v>403</v>
      </c>
      <c r="C6" s="9" t="s">
        <v>7</v>
      </c>
      <c r="D6" s="7">
        <v>2018</v>
      </c>
    </row>
    <row r="7" spans="1:4" ht="12.75">
      <c r="A7" s="10" t="s">
        <v>10</v>
      </c>
      <c r="B7" s="11">
        <v>364</v>
      </c>
      <c r="C7" s="12" t="s">
        <v>11</v>
      </c>
      <c r="D7" s="10">
        <v>2016</v>
      </c>
    </row>
    <row r="8" spans="1:4" ht="12.75">
      <c r="A8" s="7" t="s">
        <v>12</v>
      </c>
      <c r="B8" s="8">
        <v>288</v>
      </c>
      <c r="C8" s="9" t="s">
        <v>0</v>
      </c>
      <c r="D8" s="7">
        <v>2013</v>
      </c>
    </row>
    <row r="9" spans="1:4" ht="12.75">
      <c r="A9" s="10" t="s">
        <v>13</v>
      </c>
      <c r="B9" s="11">
        <v>222</v>
      </c>
      <c r="C9" s="12" t="s">
        <v>14</v>
      </c>
      <c r="D9" s="10">
        <v>2020</v>
      </c>
    </row>
    <row r="10" spans="1:4" ht="12.75">
      <c r="A10" s="7" t="s">
        <v>15</v>
      </c>
      <c r="B10" s="8">
        <v>213</v>
      </c>
      <c r="C10" s="9" t="s">
        <v>7</v>
      </c>
      <c r="D10" s="7">
        <v>2018</v>
      </c>
    </row>
    <row r="11" spans="1:4" ht="12.75">
      <c r="A11" s="10" t="s">
        <v>16</v>
      </c>
      <c r="B11" s="11">
        <v>210</v>
      </c>
      <c r="C11" s="12" t="s">
        <v>7</v>
      </c>
      <c r="D11" s="10">
        <v>2018</v>
      </c>
    </row>
    <row r="12" spans="1:4" ht="12.75">
      <c r="A12" s="7" t="s">
        <v>17</v>
      </c>
      <c r="B12" s="8">
        <v>207</v>
      </c>
      <c r="C12" s="9" t="s">
        <v>14</v>
      </c>
      <c r="D12" s="7">
        <v>2020</v>
      </c>
    </row>
    <row r="13" spans="1:4" ht="12.75">
      <c r="A13" s="10" t="s">
        <v>18</v>
      </c>
      <c r="B13" s="11">
        <v>176</v>
      </c>
      <c r="C13" s="12" t="s">
        <v>7</v>
      </c>
      <c r="D13" s="10">
        <v>2018</v>
      </c>
    </row>
    <row r="14" spans="1:4" ht="12.75">
      <c r="A14" s="155"/>
      <c r="B14" s="156"/>
      <c r="C14" s="156"/>
      <c r="D14" s="156"/>
    </row>
    <row r="15" spans="1:4" ht="15.75" customHeight="1">
      <c r="A15" s="13" t="s">
        <v>19</v>
      </c>
      <c r="B15" s="14">
        <v>44866</v>
      </c>
      <c r="C15" s="15"/>
      <c r="D15" s="15"/>
    </row>
    <row r="16" spans="1:4" ht="12.75">
      <c r="A16" s="15" t="s">
        <v>2</v>
      </c>
      <c r="B16" s="15" t="s">
        <v>3</v>
      </c>
      <c r="C16" s="15" t="s">
        <v>4</v>
      </c>
      <c r="D16" s="15" t="s">
        <v>5</v>
      </c>
    </row>
    <row r="17" spans="1:4" ht="12.75">
      <c r="A17" s="16" t="s">
        <v>20</v>
      </c>
      <c r="B17" s="16">
        <v>240</v>
      </c>
      <c r="C17" s="16" t="s">
        <v>21</v>
      </c>
      <c r="D17" s="16">
        <v>2020</v>
      </c>
    </row>
    <row r="18" spans="1:4" ht="12.75">
      <c r="A18" s="17" t="s">
        <v>22</v>
      </c>
      <c r="B18" s="17">
        <v>213</v>
      </c>
      <c r="C18" s="17" t="s">
        <v>21</v>
      </c>
      <c r="D18" s="17">
        <v>2020</v>
      </c>
    </row>
    <row r="19" spans="1:4" ht="12.75">
      <c r="A19" s="16" t="s">
        <v>23</v>
      </c>
      <c r="B19" s="16">
        <v>156</v>
      </c>
      <c r="C19" s="16" t="s">
        <v>21</v>
      </c>
      <c r="D19" s="16">
        <v>2020</v>
      </c>
    </row>
    <row r="20" spans="1:4" ht="12.75">
      <c r="A20" s="17" t="s">
        <v>24</v>
      </c>
      <c r="B20" s="17">
        <v>151</v>
      </c>
      <c r="C20" s="17" t="s">
        <v>21</v>
      </c>
      <c r="D20" s="17">
        <v>2020</v>
      </c>
    </row>
    <row r="21" spans="1:4" ht="12.75">
      <c r="A21" s="16" t="s">
        <v>25</v>
      </c>
      <c r="B21" s="16">
        <v>115</v>
      </c>
      <c r="C21" s="16" t="s">
        <v>21</v>
      </c>
      <c r="D21" s="16">
        <v>2020</v>
      </c>
    </row>
    <row r="22" spans="1:4" ht="12.75">
      <c r="A22" s="17" t="s">
        <v>26</v>
      </c>
      <c r="B22" s="17">
        <v>108</v>
      </c>
      <c r="C22" s="17" t="s">
        <v>27</v>
      </c>
      <c r="D22" s="17">
        <v>2018</v>
      </c>
    </row>
    <row r="23" spans="1:4" ht="12.75">
      <c r="A23" s="16" t="s">
        <v>28</v>
      </c>
      <c r="B23" s="16">
        <v>103</v>
      </c>
      <c r="C23" s="16" t="s">
        <v>27</v>
      </c>
      <c r="D23" s="16">
        <v>2018</v>
      </c>
    </row>
    <row r="24" spans="1:4" ht="12.75">
      <c r="A24" s="17" t="s">
        <v>29</v>
      </c>
      <c r="B24" s="17">
        <v>92</v>
      </c>
      <c r="C24" s="17" t="s">
        <v>30</v>
      </c>
      <c r="D24" s="17">
        <v>2014</v>
      </c>
    </row>
    <row r="25" spans="1:4" ht="12.75">
      <c r="A25" s="16" t="s">
        <v>31</v>
      </c>
      <c r="B25" s="16">
        <v>81</v>
      </c>
      <c r="C25" s="16" t="s">
        <v>27</v>
      </c>
      <c r="D25" s="16">
        <v>2018</v>
      </c>
    </row>
    <row r="26" spans="1:4" ht="12.75">
      <c r="A26" s="17" t="s">
        <v>32</v>
      </c>
      <c r="B26" s="17">
        <v>75</v>
      </c>
      <c r="C26" s="17" t="s">
        <v>21</v>
      </c>
      <c r="D26" s="17">
        <v>2020</v>
      </c>
    </row>
    <row r="27" spans="1:4" ht="12.75">
      <c r="A27" s="152"/>
      <c r="B27" s="153"/>
      <c r="C27" s="153"/>
      <c r="D27" s="154"/>
    </row>
    <row r="28" spans="1:4" ht="18">
      <c r="A28" s="18" t="s">
        <v>33</v>
      </c>
      <c r="B28" s="3">
        <v>44994</v>
      </c>
      <c r="C28" s="4"/>
      <c r="D28" s="5"/>
    </row>
    <row r="29" spans="1:4" ht="12.75">
      <c r="A29" s="6" t="s">
        <v>2</v>
      </c>
      <c r="B29" s="6" t="s">
        <v>3</v>
      </c>
      <c r="C29" s="6" t="s">
        <v>4</v>
      </c>
      <c r="D29" s="6" t="s">
        <v>5</v>
      </c>
    </row>
    <row r="30" spans="1:4" ht="12.75">
      <c r="A30" s="7" t="s">
        <v>34</v>
      </c>
      <c r="B30" s="8">
        <v>143</v>
      </c>
      <c r="C30" s="19" t="s">
        <v>35</v>
      </c>
      <c r="D30" s="7">
        <v>2022</v>
      </c>
    </row>
    <row r="31" spans="1:4" ht="12.75">
      <c r="A31" s="10" t="s">
        <v>36</v>
      </c>
      <c r="B31" s="11">
        <v>105</v>
      </c>
      <c r="C31" s="10" t="s">
        <v>37</v>
      </c>
      <c r="D31" s="10">
        <v>2019</v>
      </c>
    </row>
    <row r="32" spans="1:4" ht="12.75">
      <c r="A32" s="7" t="s">
        <v>38</v>
      </c>
      <c r="B32" s="8">
        <v>86</v>
      </c>
      <c r="C32" s="19" t="s">
        <v>39</v>
      </c>
      <c r="D32" s="7">
        <v>2017</v>
      </c>
    </row>
    <row r="33" spans="1:4" ht="12.75">
      <c r="A33" s="10" t="s">
        <v>40</v>
      </c>
      <c r="B33" s="11">
        <v>84</v>
      </c>
      <c r="C33" s="20" t="s">
        <v>37</v>
      </c>
      <c r="D33" s="10">
        <v>2019</v>
      </c>
    </row>
    <row r="34" spans="1:4" ht="12.75">
      <c r="A34" s="7" t="s">
        <v>41</v>
      </c>
      <c r="B34" s="8">
        <v>78</v>
      </c>
      <c r="C34" s="19" t="s">
        <v>42</v>
      </c>
      <c r="D34" s="7">
        <v>2015</v>
      </c>
    </row>
    <row r="35" spans="1:4" ht="12.75">
      <c r="A35" s="10" t="s">
        <v>43</v>
      </c>
      <c r="B35" s="11">
        <v>69</v>
      </c>
      <c r="C35" s="20" t="s">
        <v>39</v>
      </c>
      <c r="D35" s="10">
        <v>2017</v>
      </c>
    </row>
    <row r="36" spans="1:4" ht="12.75">
      <c r="A36" s="7" t="s">
        <v>44</v>
      </c>
      <c r="B36" s="8">
        <v>63</v>
      </c>
      <c r="C36" s="19" t="s">
        <v>45</v>
      </c>
      <c r="D36" s="7">
        <v>2012</v>
      </c>
    </row>
    <row r="37" spans="1:4" ht="12.75">
      <c r="A37" s="10" t="s">
        <v>46</v>
      </c>
      <c r="B37" s="11">
        <v>62</v>
      </c>
      <c r="C37" s="20" t="s">
        <v>45</v>
      </c>
      <c r="D37" s="10">
        <v>2012</v>
      </c>
    </row>
    <row r="38" spans="1:4" ht="12.75">
      <c r="A38" s="7" t="s">
        <v>47</v>
      </c>
      <c r="B38" s="8">
        <v>60</v>
      </c>
      <c r="C38" s="19" t="s">
        <v>39</v>
      </c>
      <c r="D38" s="7">
        <v>2017</v>
      </c>
    </row>
    <row r="39" spans="1:4" ht="12.75">
      <c r="A39" s="10" t="s">
        <v>48</v>
      </c>
      <c r="B39" s="11">
        <v>59</v>
      </c>
      <c r="C39" s="10" t="s">
        <v>37</v>
      </c>
      <c r="D39" s="10">
        <v>2019</v>
      </c>
    </row>
    <row r="40" spans="1:4" ht="12.75">
      <c r="A40" s="152"/>
      <c r="B40" s="153"/>
      <c r="C40" s="153"/>
      <c r="D40" s="154"/>
    </row>
    <row r="41" spans="1:4" ht="18">
      <c r="A41" s="2" t="str">
        <f>HYPERLINK("https://www.reddit.com/r/indieheads/comments/93d1oc/top_ten_tuesday_altj/","alt-J")</f>
        <v>alt-J</v>
      </c>
      <c r="B41" s="3">
        <v>43312</v>
      </c>
      <c r="C41" s="4"/>
      <c r="D41" s="5" t="s">
        <v>1</v>
      </c>
    </row>
    <row r="42" spans="1:4" ht="12.75">
      <c r="A42" s="6" t="s">
        <v>2</v>
      </c>
      <c r="B42" s="21" t="s">
        <v>3</v>
      </c>
      <c r="C42" s="6" t="s">
        <v>4</v>
      </c>
      <c r="D42" s="6" t="s">
        <v>5</v>
      </c>
    </row>
    <row r="43" spans="1:4" ht="12.75">
      <c r="A43" s="7" t="s">
        <v>49</v>
      </c>
      <c r="B43" s="8">
        <v>299</v>
      </c>
      <c r="C43" s="9" t="str">
        <f t="shared" ref="C43:C46" si="0">HYPERLINK("https://en.wikipedia.org/wiki/An_Awesome_Wave","An Awesome Wave")</f>
        <v>An Awesome Wave</v>
      </c>
      <c r="D43" s="7">
        <v>2012</v>
      </c>
    </row>
    <row r="44" spans="1:4" ht="12.75">
      <c r="A44" s="10" t="s">
        <v>50</v>
      </c>
      <c r="B44" s="11">
        <v>243</v>
      </c>
      <c r="C44" s="12" t="str">
        <f t="shared" si="0"/>
        <v>An Awesome Wave</v>
      </c>
      <c r="D44" s="10">
        <v>2012</v>
      </c>
    </row>
    <row r="45" spans="1:4" ht="12.75">
      <c r="A45" s="7" t="s">
        <v>51</v>
      </c>
      <c r="B45" s="8">
        <v>198</v>
      </c>
      <c r="C45" s="9" t="str">
        <f t="shared" si="0"/>
        <v>An Awesome Wave</v>
      </c>
      <c r="D45" s="7">
        <v>2011</v>
      </c>
    </row>
    <row r="46" spans="1:4" ht="12.75">
      <c r="A46" s="10" t="s">
        <v>52</v>
      </c>
      <c r="B46" s="11">
        <v>190</v>
      </c>
      <c r="C46" s="12" t="str">
        <f t="shared" si="0"/>
        <v>An Awesome Wave</v>
      </c>
      <c r="D46" s="10">
        <v>2012</v>
      </c>
    </row>
    <row r="47" spans="1:4" ht="12.75">
      <c r="A47" s="7" t="s">
        <v>53</v>
      </c>
      <c r="B47" s="8">
        <v>188</v>
      </c>
      <c r="C47" s="9" t="str">
        <f>HYPERLINK("https://en.wikipedia.org/wiki/Relaxer_(album)","Relaxer")</f>
        <v>Relaxer</v>
      </c>
      <c r="D47" s="7">
        <v>2017</v>
      </c>
    </row>
    <row r="48" spans="1:4" ht="12.75">
      <c r="A48" s="10" t="s">
        <v>54</v>
      </c>
      <c r="B48" s="11">
        <v>155</v>
      </c>
      <c r="C48" s="12" t="str">
        <f>HYPERLINK("https://en.wikipedia.org/wiki/An_Awesome_Wave","An Awesome Wave")</f>
        <v>An Awesome Wave</v>
      </c>
      <c r="D48" s="10">
        <v>2012</v>
      </c>
    </row>
    <row r="49" spans="1:4" ht="12.75">
      <c r="A49" s="7" t="s">
        <v>55</v>
      </c>
      <c r="B49" s="8">
        <v>150</v>
      </c>
      <c r="C49" s="9" t="str">
        <f>HYPERLINK("https://en.wikipedia.org/wiki/This_Is_All_Yours","This is All Yours")</f>
        <v>This is All Yours</v>
      </c>
      <c r="D49" s="7">
        <v>2014</v>
      </c>
    </row>
    <row r="50" spans="1:4" ht="12.75">
      <c r="A50" s="10" t="s">
        <v>56</v>
      </c>
      <c r="B50" s="11">
        <v>128</v>
      </c>
      <c r="C50" s="12" t="str">
        <f>HYPERLINK("https://en.wikipedia.org/wiki/Relaxer_(album)","Relaxer")</f>
        <v>Relaxer</v>
      </c>
      <c r="D50" s="10">
        <v>2017</v>
      </c>
    </row>
    <row r="51" spans="1:4" ht="12.75">
      <c r="A51" s="7" t="s">
        <v>57</v>
      </c>
      <c r="B51" s="8">
        <v>115</v>
      </c>
      <c r="C51" s="9" t="str">
        <f t="shared" ref="C51:C52" si="1">HYPERLINK("https://en.wikipedia.org/wiki/An_Awesome_Wave","An Awesome Wave")</f>
        <v>An Awesome Wave</v>
      </c>
      <c r="D51" s="7">
        <v>2012</v>
      </c>
    </row>
    <row r="52" spans="1:4" ht="12.75">
      <c r="A52" s="10" t="s">
        <v>58</v>
      </c>
      <c r="B52" s="11">
        <v>111</v>
      </c>
      <c r="C52" s="12" t="str">
        <f t="shared" si="1"/>
        <v>An Awesome Wave</v>
      </c>
      <c r="D52" s="10">
        <v>2012</v>
      </c>
    </row>
    <row r="53" spans="1:4" ht="12.75">
      <c r="A53" s="152"/>
      <c r="B53" s="153"/>
      <c r="C53" s="153"/>
      <c r="D53" s="154"/>
    </row>
    <row r="54" spans="1:4" ht="18">
      <c r="A54" s="2" t="str">
        <f>HYPERLINK("https://www.reddit.com/r/indieheads/comments/axky63/top_ten_tuesday_alvvays/","Alvvays")</f>
        <v>Alvvays</v>
      </c>
      <c r="B54" s="3">
        <v>43529</v>
      </c>
      <c r="C54" s="4"/>
      <c r="D54" s="5" t="s">
        <v>1</v>
      </c>
    </row>
    <row r="55" spans="1:4" ht="12.75">
      <c r="A55" s="6" t="s">
        <v>2</v>
      </c>
      <c r="B55" s="21" t="s">
        <v>3</v>
      </c>
      <c r="C55" s="6" t="s">
        <v>4</v>
      </c>
      <c r="D55" s="6" t="s">
        <v>5</v>
      </c>
    </row>
    <row r="56" spans="1:4" ht="12.75">
      <c r="A56" s="7" t="s">
        <v>59</v>
      </c>
      <c r="B56" s="8">
        <v>894</v>
      </c>
      <c r="C56" s="9" t="str">
        <f>HYPERLINK("https://en.wikipedia.org/wiki/Antisocialites","Antisocialites")</f>
        <v>Antisocialites</v>
      </c>
      <c r="D56" s="7">
        <v>2017</v>
      </c>
    </row>
    <row r="57" spans="1:4" ht="12.75">
      <c r="A57" s="10" t="s">
        <v>60</v>
      </c>
      <c r="B57" s="11">
        <v>796</v>
      </c>
      <c r="C57" s="12" t="str">
        <f t="shared" ref="C57:C58" si="2">HYPERLINK("https://en.wikipedia.org/wiki/Alvvays_(album)","Alvvays")</f>
        <v>Alvvays</v>
      </c>
      <c r="D57" s="10">
        <v>2014</v>
      </c>
    </row>
    <row r="58" spans="1:4" ht="12.75">
      <c r="A58" s="7" t="s">
        <v>61</v>
      </c>
      <c r="B58" s="8">
        <v>693</v>
      </c>
      <c r="C58" s="9" t="str">
        <f t="shared" si="2"/>
        <v>Alvvays</v>
      </c>
      <c r="D58" s="7">
        <v>2014</v>
      </c>
    </row>
    <row r="59" spans="1:4" ht="12.75">
      <c r="A59" s="10" t="s">
        <v>62</v>
      </c>
      <c r="B59" s="11">
        <v>660</v>
      </c>
      <c r="C59" s="12" t="str">
        <f>HYPERLINK("https://en.wikipedia.org/wiki/Antisocialites","Antisocialites")</f>
        <v>Antisocialites</v>
      </c>
      <c r="D59" s="10">
        <v>2017</v>
      </c>
    </row>
    <row r="60" spans="1:4" ht="12.75">
      <c r="A60" s="7" t="s">
        <v>63</v>
      </c>
      <c r="B60" s="8">
        <v>610</v>
      </c>
      <c r="C60" s="9" t="str">
        <f>HYPERLINK("https://en.wikipedia.org/wiki/Alvvays_(album)","Alvvays")</f>
        <v>Alvvays</v>
      </c>
      <c r="D60" s="7">
        <v>2014</v>
      </c>
    </row>
    <row r="61" spans="1:4" ht="12.75">
      <c r="A61" s="10" t="s">
        <v>64</v>
      </c>
      <c r="B61" s="11">
        <v>558</v>
      </c>
      <c r="C61" s="12" t="str">
        <f>HYPERLINK("https://en.wikipedia.org/wiki/Antisocialites","Antisocialites")</f>
        <v>Antisocialites</v>
      </c>
      <c r="D61" s="10">
        <v>2017</v>
      </c>
    </row>
    <row r="62" spans="1:4" ht="12.75">
      <c r="A62" s="7" t="s">
        <v>65</v>
      </c>
      <c r="B62" s="8">
        <v>536</v>
      </c>
      <c r="C62" s="9" t="str">
        <f>HYPERLINK("https://en.wikipedia.org/wiki/Alvvays_(album)","Alvvays")</f>
        <v>Alvvays</v>
      </c>
      <c r="D62" s="7">
        <v>2014</v>
      </c>
    </row>
    <row r="63" spans="1:4" ht="12.75">
      <c r="A63" s="10" t="s">
        <v>66</v>
      </c>
      <c r="B63" s="11">
        <v>529</v>
      </c>
      <c r="C63" s="12" t="str">
        <f t="shared" ref="C63:C64" si="3">HYPERLINK("https://en.wikipedia.org/wiki/Antisocialites","Antisocialites")</f>
        <v>Antisocialites</v>
      </c>
      <c r="D63" s="10">
        <v>2017</v>
      </c>
    </row>
    <row r="64" spans="1:4" ht="12.75">
      <c r="A64" s="7" t="s">
        <v>67</v>
      </c>
      <c r="B64" s="8">
        <v>432</v>
      </c>
      <c r="C64" s="9" t="str">
        <f t="shared" si="3"/>
        <v>Antisocialites</v>
      </c>
      <c r="D64" s="7">
        <v>2017</v>
      </c>
    </row>
    <row r="65" spans="1:4" ht="12.75">
      <c r="A65" s="10" t="s">
        <v>68</v>
      </c>
      <c r="B65" s="11">
        <v>391</v>
      </c>
      <c r="C65" s="12" t="str">
        <f>HYPERLINK("https://en.wikipedia.org/wiki/Alvvays_(album)","Alvvays")</f>
        <v>Alvvays</v>
      </c>
      <c r="D65" s="10">
        <v>2014</v>
      </c>
    </row>
    <row r="66" spans="1:4" ht="12.75">
      <c r="A66" s="152"/>
      <c r="B66" s="153"/>
      <c r="C66" s="153"/>
      <c r="D66" s="154"/>
    </row>
    <row r="67" spans="1:4" ht="18">
      <c r="A67" s="2" t="s">
        <v>69</v>
      </c>
      <c r="B67" s="3">
        <v>44026</v>
      </c>
      <c r="C67" s="4"/>
      <c r="D67" s="5" t="s">
        <v>1</v>
      </c>
    </row>
    <row r="68" spans="1:4" ht="12.75">
      <c r="A68" s="6" t="s">
        <v>2</v>
      </c>
      <c r="B68" s="21" t="s">
        <v>3</v>
      </c>
      <c r="C68" s="6" t="s">
        <v>4</v>
      </c>
      <c r="D68" s="6" t="s">
        <v>5</v>
      </c>
    </row>
    <row r="69" spans="1:4" ht="12.75">
      <c r="A69" s="7" t="s">
        <v>70</v>
      </c>
      <c r="B69" s="8">
        <v>232</v>
      </c>
      <c r="C69" s="9" t="s">
        <v>69</v>
      </c>
      <c r="D69" s="7">
        <v>1999</v>
      </c>
    </row>
    <row r="70" spans="1:4" ht="12.75">
      <c r="A70" s="10" t="s">
        <v>71</v>
      </c>
      <c r="B70" s="11">
        <v>193</v>
      </c>
      <c r="C70" s="12" t="s">
        <v>69</v>
      </c>
      <c r="D70" s="10">
        <v>1999</v>
      </c>
    </row>
    <row r="71" spans="1:4" ht="12.75">
      <c r="A71" s="7" t="s">
        <v>72</v>
      </c>
      <c r="B71" s="8">
        <v>171</v>
      </c>
      <c r="C71" s="9" t="s">
        <v>69</v>
      </c>
      <c r="D71" s="7">
        <v>1999</v>
      </c>
    </row>
    <row r="72" spans="1:4" ht="12.75">
      <c r="A72" s="10" t="s">
        <v>73</v>
      </c>
      <c r="B72" s="11">
        <v>113</v>
      </c>
      <c r="C72" s="12" t="s">
        <v>69</v>
      </c>
      <c r="D72" s="10">
        <v>1999</v>
      </c>
    </row>
    <row r="73" spans="1:4" ht="12.75">
      <c r="A73" s="7" t="s">
        <v>3926</v>
      </c>
      <c r="B73" s="8">
        <v>90</v>
      </c>
      <c r="C73" s="9" t="s">
        <v>69</v>
      </c>
      <c r="D73" s="7">
        <v>1999</v>
      </c>
    </row>
    <row r="74" spans="1:4" ht="12.75">
      <c r="A74" s="10" t="s">
        <v>74</v>
      </c>
      <c r="B74" s="11">
        <v>85</v>
      </c>
      <c r="C74" s="12" t="s">
        <v>75</v>
      </c>
      <c r="D74" s="10">
        <v>2019</v>
      </c>
    </row>
    <row r="75" spans="1:4" ht="12.75">
      <c r="A75" s="7" t="s">
        <v>76</v>
      </c>
      <c r="B75" s="8">
        <v>84</v>
      </c>
      <c r="C75" s="9" t="s">
        <v>75</v>
      </c>
      <c r="D75" s="7">
        <v>2019</v>
      </c>
    </row>
    <row r="76" spans="1:4" ht="12.75">
      <c r="A76" s="10" t="s">
        <v>77</v>
      </c>
      <c r="B76" s="11">
        <v>70</v>
      </c>
      <c r="C76" s="12" t="s">
        <v>69</v>
      </c>
      <c r="D76" s="10">
        <v>1999</v>
      </c>
    </row>
    <row r="77" spans="1:4" ht="12.75">
      <c r="A77" s="7" t="s">
        <v>78</v>
      </c>
      <c r="B77" s="8">
        <v>62</v>
      </c>
      <c r="C77" s="9" t="s">
        <v>69</v>
      </c>
      <c r="D77" s="7">
        <v>1999</v>
      </c>
    </row>
    <row r="78" spans="1:4" ht="12.75">
      <c r="A78" s="10" t="s">
        <v>79</v>
      </c>
      <c r="B78" s="11">
        <v>57</v>
      </c>
      <c r="C78" s="12" t="s">
        <v>69</v>
      </c>
      <c r="D78" s="10">
        <v>1999</v>
      </c>
    </row>
    <row r="79" spans="1:4" ht="12.75">
      <c r="A79" s="152"/>
      <c r="B79" s="153"/>
      <c r="C79" s="153"/>
      <c r="D79" s="154"/>
    </row>
    <row r="80" spans="1:4" ht="18">
      <c r="A80" s="2" t="str">
        <f>HYPERLINK("https://www.reddit.com/r/indieheads/comments/cjq8px/top_ten_tuesday_andrew_bird/","Andrew Bird")</f>
        <v>Andrew Bird</v>
      </c>
      <c r="B80" s="3">
        <v>43676</v>
      </c>
      <c r="C80" s="4"/>
      <c r="D80" s="5" t="s">
        <v>1</v>
      </c>
    </row>
    <row r="81" spans="1:4" ht="12.75">
      <c r="A81" s="6" t="s">
        <v>2</v>
      </c>
      <c r="B81" s="21" t="s">
        <v>3</v>
      </c>
      <c r="C81" s="6" t="s">
        <v>4</v>
      </c>
      <c r="D81" s="6" t="s">
        <v>5</v>
      </c>
    </row>
    <row r="82" spans="1:4" ht="12.75">
      <c r="A82" s="7" t="s">
        <v>80</v>
      </c>
      <c r="B82" s="8">
        <v>68</v>
      </c>
      <c r="C82" s="127" t="s">
        <v>3927</v>
      </c>
      <c r="D82" s="7">
        <v>2005</v>
      </c>
    </row>
    <row r="83" spans="1:4" ht="12.75">
      <c r="A83" s="10" t="s">
        <v>81</v>
      </c>
      <c r="B83" s="11">
        <v>52</v>
      </c>
      <c r="C83" s="12" t="str">
        <f>HYPERLINK("https://en.wikipedia.org/wiki/Armchair_Apocrypha","Armchair Apocrypha")</f>
        <v>Armchair Apocrypha</v>
      </c>
      <c r="D83" s="10">
        <v>2007</v>
      </c>
    </row>
    <row r="84" spans="1:4" ht="12.75">
      <c r="A84" s="7" t="s">
        <v>82</v>
      </c>
      <c r="B84" s="8">
        <v>51</v>
      </c>
      <c r="C84" s="9" t="str">
        <f>HYPERLINK("https://en.wikipedia.org/wiki/I_Want_to_See_Pulaski_at_Night","I Want to See Pulaski at Night")</f>
        <v>I Want to See Pulaski at Night</v>
      </c>
      <c r="D84" s="7">
        <v>2013</v>
      </c>
    </row>
    <row r="85" spans="1:4" ht="12.75">
      <c r="A85" s="10" t="s">
        <v>83</v>
      </c>
      <c r="B85" s="11">
        <v>47</v>
      </c>
      <c r="C85" s="12" t="str">
        <f>HYPERLINK("https://en.wikipedia.org/wiki/Armchair_Apocrypha","Armchair Apocrypha")</f>
        <v>Armchair Apocrypha</v>
      </c>
      <c r="D85" s="10">
        <v>2007</v>
      </c>
    </row>
    <row r="86" spans="1:4" ht="12.75">
      <c r="A86" s="7" t="s">
        <v>84</v>
      </c>
      <c r="B86" s="8">
        <v>40</v>
      </c>
      <c r="C86" s="127" t="s">
        <v>3927</v>
      </c>
      <c r="D86" s="7">
        <v>2005</v>
      </c>
    </row>
    <row r="87" spans="1:4" ht="12.75">
      <c r="A87" s="10" t="s">
        <v>85</v>
      </c>
      <c r="B87" s="11">
        <v>40</v>
      </c>
      <c r="C87" s="127" t="s">
        <v>3927</v>
      </c>
      <c r="D87" s="10">
        <v>2005</v>
      </c>
    </row>
    <row r="88" spans="1:4" ht="12.75">
      <c r="A88" s="7" t="s">
        <v>86</v>
      </c>
      <c r="B88" s="8">
        <v>38</v>
      </c>
      <c r="C88" s="9" t="str">
        <f>HYPERLINK("https://en.wikipedia.org/wiki/Are_You_Serious_(Andrew_Bird_album)","Are You Serious")</f>
        <v>Are You Serious</v>
      </c>
      <c r="D88" s="7">
        <v>2016</v>
      </c>
    </row>
    <row r="89" spans="1:4" ht="12.75">
      <c r="A89" s="10" t="s">
        <v>87</v>
      </c>
      <c r="B89" s="11">
        <v>33</v>
      </c>
      <c r="C89" s="12" t="str">
        <f>HYPERLINK("https://en.wikipedia.org/wiki/My_Finest_Work_Yet","My Finest Work Yet")</f>
        <v>My Finest Work Yet</v>
      </c>
      <c r="D89" s="10">
        <v>2019</v>
      </c>
    </row>
    <row r="90" spans="1:4" ht="12.75">
      <c r="A90" s="7" t="s">
        <v>88</v>
      </c>
      <c r="B90" s="8">
        <v>27</v>
      </c>
      <c r="C90" s="9" t="str">
        <f t="shared" ref="C90:C91" si="4">HYPERLINK("https://en.wikipedia.org/wiki/Break_It_Yourself","Break It Yourself")</f>
        <v>Break It Yourself</v>
      </c>
      <c r="D90" s="7">
        <v>2012</v>
      </c>
    </row>
    <row r="91" spans="1:4" ht="12.75">
      <c r="A91" s="10" t="s">
        <v>3928</v>
      </c>
      <c r="B91" s="11">
        <v>27</v>
      </c>
      <c r="C91" s="12" t="str">
        <f t="shared" si="4"/>
        <v>Break It Yourself</v>
      </c>
      <c r="D91" s="10">
        <v>2012</v>
      </c>
    </row>
    <row r="92" spans="1:4" ht="12.75">
      <c r="A92" s="152"/>
      <c r="B92" s="153"/>
      <c r="C92" s="153"/>
      <c r="D92" s="154"/>
    </row>
    <row r="93" spans="1:4" ht="18">
      <c r="A93" s="128" t="s">
        <v>3929</v>
      </c>
      <c r="B93" s="23">
        <v>42290</v>
      </c>
      <c r="C93" s="24"/>
      <c r="D93" s="25" t="s">
        <v>1</v>
      </c>
    </row>
    <row r="94" spans="1:4" ht="12.75">
      <c r="A94" s="26" t="s">
        <v>2</v>
      </c>
      <c r="B94" s="26" t="s">
        <v>3</v>
      </c>
      <c r="C94" s="26" t="s">
        <v>4</v>
      </c>
      <c r="D94" s="26" t="s">
        <v>5</v>
      </c>
    </row>
    <row r="95" spans="1:4" ht="12.75">
      <c r="A95" s="7" t="s">
        <v>89</v>
      </c>
      <c r="B95" s="8">
        <v>182</v>
      </c>
      <c r="C95" s="9" t="str">
        <f>HYPERLINK("https://en.wikipedia.org/wiki/People_That_Can_Eat_People_Are_the_Luckiest_People_in_the_World","People That Can Eat People Are the Luckiest People in the World")</f>
        <v>People That Can Eat People Are the Luckiest People in the World</v>
      </c>
      <c r="D95" s="7">
        <v>2007</v>
      </c>
    </row>
    <row r="96" spans="1:4" ht="12.75">
      <c r="A96" s="27" t="s">
        <v>90</v>
      </c>
      <c r="B96" s="28">
        <v>118</v>
      </c>
      <c r="C96" s="29" t="str">
        <f>HYPERLINK("https://en.wikipedia.org/wiki/Knife_Man","Knife Man")</f>
        <v>Knife Man</v>
      </c>
      <c r="D96" s="27">
        <v>2011</v>
      </c>
    </row>
    <row r="97" spans="1:4" ht="12.75">
      <c r="A97" s="7" t="s">
        <v>91</v>
      </c>
      <c r="B97" s="8">
        <v>104</v>
      </c>
      <c r="C97" s="9" t="str">
        <f t="shared" ref="C97:C101" si="5">HYPERLINK("https://en.wikipedia.org/wiki/People_That_Can_Eat_People_Are_the_Luckiest_People_in_the_World","People That Can Eat People Are the Luckiest People in the World")</f>
        <v>People That Can Eat People Are the Luckiest People in the World</v>
      </c>
      <c r="D97" s="7">
        <v>2007</v>
      </c>
    </row>
    <row r="98" spans="1:4" ht="12.75">
      <c r="A98" s="27" t="s">
        <v>92</v>
      </c>
      <c r="B98" s="28">
        <v>89</v>
      </c>
      <c r="C98" s="29" t="str">
        <f t="shared" si="5"/>
        <v>People That Can Eat People Are the Luckiest People in the World</v>
      </c>
      <c r="D98" s="27">
        <v>2007</v>
      </c>
    </row>
    <row r="99" spans="1:4" ht="12.75">
      <c r="A99" s="7" t="s">
        <v>93</v>
      </c>
      <c r="B99" s="8">
        <v>72</v>
      </c>
      <c r="C99" s="9" t="str">
        <f t="shared" si="5"/>
        <v>People That Can Eat People Are the Luckiest People in the World</v>
      </c>
      <c r="D99" s="7">
        <v>2007</v>
      </c>
    </row>
    <row r="100" spans="1:4" ht="12.75">
      <c r="A100" s="27" t="s">
        <v>94</v>
      </c>
      <c r="B100" s="28">
        <v>62</v>
      </c>
      <c r="C100" s="29" t="str">
        <f t="shared" si="5"/>
        <v>People That Can Eat People Are the Luckiest People in the World</v>
      </c>
      <c r="D100" s="27">
        <v>2007</v>
      </c>
    </row>
    <row r="101" spans="1:4" ht="12.75">
      <c r="A101" s="7" t="s">
        <v>95</v>
      </c>
      <c r="B101" s="8">
        <v>62</v>
      </c>
      <c r="C101" s="9" t="str">
        <f t="shared" si="5"/>
        <v>People That Can Eat People Are the Luckiest People in the World</v>
      </c>
      <c r="D101" s="7">
        <v>2007</v>
      </c>
    </row>
    <row r="102" spans="1:4" ht="12.75">
      <c r="A102" s="27" t="s">
        <v>3930</v>
      </c>
      <c r="B102" s="28">
        <v>53</v>
      </c>
      <c r="C102" s="29" t="str">
        <f>HYPERLINK("https://en.wikipedia.org/wiki/Andrew_Jackson_Jihad#Splits","Andrew Jackson Jihad / Ghost Mice")</f>
        <v>Andrew Jackson Jihad / Ghost Mice</v>
      </c>
      <c r="D102" s="27">
        <v>2007</v>
      </c>
    </row>
    <row r="103" spans="1:4" ht="12.75">
      <c r="A103" s="7" t="s">
        <v>96</v>
      </c>
      <c r="B103" s="8">
        <v>53</v>
      </c>
      <c r="C103" s="9" t="str">
        <f>HYPERLINK("https://en.wikipedia.org/wiki/Can%27t_Maintain","Can't Maintain")</f>
        <v>Can't Maintain</v>
      </c>
      <c r="D103" s="7">
        <v>2009</v>
      </c>
    </row>
    <row r="104" spans="1:4" ht="12.75">
      <c r="A104" s="27" t="s">
        <v>97</v>
      </c>
      <c r="B104" s="28">
        <v>43</v>
      </c>
      <c r="C104" s="29" t="str">
        <f>HYPERLINK("https://en.wikipedia.org/wiki/Christmas_Island_(Andrew_Jackson_Jihad_album)","Christmas Island")</f>
        <v>Christmas Island</v>
      </c>
      <c r="D104" s="27">
        <v>2014</v>
      </c>
    </row>
    <row r="105" spans="1:4" ht="12.75">
      <c r="A105" s="152"/>
      <c r="B105" s="153"/>
      <c r="C105" s="153"/>
      <c r="D105" s="154"/>
    </row>
    <row r="106" spans="1:4" ht="18">
      <c r="A106" s="22" t="s">
        <v>98</v>
      </c>
      <c r="B106" s="30">
        <v>44537</v>
      </c>
      <c r="C106" s="31"/>
      <c r="D106" s="32" t="s">
        <v>1</v>
      </c>
    </row>
    <row r="107" spans="1:4" ht="12.75">
      <c r="A107" s="26" t="s">
        <v>2</v>
      </c>
      <c r="B107" s="26" t="s">
        <v>3</v>
      </c>
      <c r="C107" s="26" t="s">
        <v>4</v>
      </c>
      <c r="D107" s="26" t="s">
        <v>5</v>
      </c>
    </row>
    <row r="108" spans="1:4" ht="12.75">
      <c r="A108" s="7" t="s">
        <v>99</v>
      </c>
      <c r="B108" s="8">
        <v>66</v>
      </c>
      <c r="C108" s="9" t="s">
        <v>100</v>
      </c>
      <c r="D108" s="7">
        <v>2002</v>
      </c>
    </row>
    <row r="109" spans="1:4" ht="12.75">
      <c r="A109" s="27" t="s">
        <v>101</v>
      </c>
      <c r="B109" s="28">
        <v>64</v>
      </c>
      <c r="C109" s="29" t="s">
        <v>100</v>
      </c>
      <c r="D109" s="27">
        <v>2002</v>
      </c>
    </row>
    <row r="110" spans="1:4" ht="12.75">
      <c r="A110" s="7" t="s">
        <v>102</v>
      </c>
      <c r="B110" s="8">
        <v>57</v>
      </c>
      <c r="C110" s="9" t="s">
        <v>100</v>
      </c>
      <c r="D110" s="7">
        <v>2002</v>
      </c>
    </row>
    <row r="111" spans="1:4" ht="12.75">
      <c r="A111" s="27" t="s">
        <v>103</v>
      </c>
      <c r="B111" s="28">
        <v>50</v>
      </c>
      <c r="C111" s="29" t="s">
        <v>104</v>
      </c>
      <c r="D111" s="27">
        <v>2005</v>
      </c>
    </row>
    <row r="112" spans="1:4" ht="12.75">
      <c r="A112" s="7" t="s">
        <v>105</v>
      </c>
      <c r="B112" s="8">
        <v>43</v>
      </c>
      <c r="C112" s="9" t="s">
        <v>106</v>
      </c>
      <c r="D112" s="7">
        <v>1999</v>
      </c>
    </row>
    <row r="113" spans="1:4" ht="12.75">
      <c r="A113" s="27" t="s">
        <v>107</v>
      </c>
      <c r="B113" s="28">
        <v>34</v>
      </c>
      <c r="C113" s="29" t="s">
        <v>100</v>
      </c>
      <c r="D113" s="27">
        <v>2002</v>
      </c>
    </row>
    <row r="114" spans="1:4" ht="12.75">
      <c r="A114" s="7" t="s">
        <v>108</v>
      </c>
      <c r="B114" s="8">
        <v>31</v>
      </c>
      <c r="C114" s="9" t="s">
        <v>109</v>
      </c>
      <c r="D114" s="7">
        <v>2009</v>
      </c>
    </row>
    <row r="115" spans="1:4" ht="12.75">
      <c r="A115" s="27" t="s">
        <v>100</v>
      </c>
      <c r="B115" s="28">
        <v>30</v>
      </c>
      <c r="C115" s="29" t="s">
        <v>100</v>
      </c>
      <c r="D115" s="27">
        <v>2002</v>
      </c>
    </row>
    <row r="116" spans="1:4" ht="12.75">
      <c r="A116" s="7" t="s">
        <v>104</v>
      </c>
      <c r="B116" s="8">
        <v>19</v>
      </c>
      <c r="C116" s="9" t="s">
        <v>104</v>
      </c>
      <c r="D116" s="7">
        <v>2005</v>
      </c>
    </row>
    <row r="117" spans="1:4" ht="12.75">
      <c r="A117" s="27" t="s">
        <v>110</v>
      </c>
      <c r="B117" s="28">
        <v>18</v>
      </c>
      <c r="C117" s="29" t="s">
        <v>104</v>
      </c>
      <c r="D117" s="27">
        <v>2005</v>
      </c>
    </row>
    <row r="118" spans="1:4" ht="12.75">
      <c r="A118" s="157"/>
      <c r="B118" s="156"/>
      <c r="C118" s="156"/>
      <c r="D118" s="156"/>
    </row>
    <row r="119" spans="1:4" ht="18">
      <c r="A119" s="22" t="str">
        <f>HYPERLINK("https://www.reddit.com/r/indieheads/comments/f27a92/top_ten_tuesday_angel_olsen/","Angel Olsen")</f>
        <v>Angel Olsen</v>
      </c>
      <c r="B119" s="30">
        <v>43872</v>
      </c>
      <c r="C119" s="24"/>
      <c r="D119" s="32" t="s">
        <v>1</v>
      </c>
    </row>
    <row r="120" spans="1:4" ht="12.75">
      <c r="A120" s="33" t="s">
        <v>2</v>
      </c>
      <c r="B120" s="34" t="s">
        <v>3</v>
      </c>
      <c r="C120" s="33" t="s">
        <v>4</v>
      </c>
      <c r="D120" s="26" t="s">
        <v>5</v>
      </c>
    </row>
    <row r="121" spans="1:4" ht="12.75">
      <c r="A121" s="19" t="s">
        <v>111</v>
      </c>
      <c r="B121" s="8">
        <v>493</v>
      </c>
      <c r="C121" s="9" t="str">
        <f t="shared" ref="C121:C122" si="6">HYPERLINK("https://en.wikipedia.org/wiki/My_Woman_(album)","My Woman")</f>
        <v>My Woman</v>
      </c>
      <c r="D121" s="7">
        <v>2016</v>
      </c>
    </row>
    <row r="122" spans="1:4" ht="12.75">
      <c r="A122" s="35" t="s">
        <v>112</v>
      </c>
      <c r="B122" s="28">
        <v>374</v>
      </c>
      <c r="C122" s="29" t="str">
        <f t="shared" si="6"/>
        <v>My Woman</v>
      </c>
      <c r="D122" s="27">
        <v>2016</v>
      </c>
    </row>
    <row r="123" spans="1:4" ht="12.75">
      <c r="A123" s="19" t="s">
        <v>113</v>
      </c>
      <c r="B123" s="8">
        <v>289</v>
      </c>
      <c r="C123" s="9" t="str">
        <f t="shared" ref="C123:C125" si="7">HYPERLINK("https://en.wikipedia.org/wiki/All_Mirrors","All Mirrors")</f>
        <v>All Mirrors</v>
      </c>
      <c r="D123" s="7">
        <v>2019</v>
      </c>
    </row>
    <row r="124" spans="1:4" ht="12.75">
      <c r="A124" s="35" t="s">
        <v>114</v>
      </c>
      <c r="B124" s="28">
        <v>279</v>
      </c>
      <c r="C124" s="29" t="str">
        <f t="shared" si="7"/>
        <v>All Mirrors</v>
      </c>
      <c r="D124" s="27">
        <v>2019</v>
      </c>
    </row>
    <row r="125" spans="1:4" ht="12.75">
      <c r="A125" s="19" t="s">
        <v>115</v>
      </c>
      <c r="B125" s="8">
        <v>222</v>
      </c>
      <c r="C125" s="9" t="str">
        <f t="shared" si="7"/>
        <v>All Mirrors</v>
      </c>
      <c r="D125" s="7">
        <v>2019</v>
      </c>
    </row>
    <row r="126" spans="1:4" ht="12.75">
      <c r="A126" s="35" t="s">
        <v>116</v>
      </c>
      <c r="B126" s="28">
        <v>195</v>
      </c>
      <c r="C126" s="29" t="str">
        <f t="shared" ref="C126:C127" si="8">HYPERLINK("https://en.wikipedia.org/wiki/Burn_Your_Fire_for_No_Witness","Burn Your Fire for No Witness")</f>
        <v>Burn Your Fire for No Witness</v>
      </c>
      <c r="D126" s="27">
        <v>2014</v>
      </c>
    </row>
    <row r="127" spans="1:4" ht="12.75">
      <c r="A127" s="19" t="s">
        <v>117</v>
      </c>
      <c r="B127" s="8">
        <v>189</v>
      </c>
      <c r="C127" s="9" t="str">
        <f t="shared" si="8"/>
        <v>Burn Your Fire for No Witness</v>
      </c>
      <c r="D127" s="7">
        <v>2014</v>
      </c>
    </row>
    <row r="128" spans="1:4" ht="12.75">
      <c r="A128" s="35" t="s">
        <v>118</v>
      </c>
      <c r="B128" s="28">
        <v>184</v>
      </c>
      <c r="C128" s="29" t="str">
        <f t="shared" ref="C128:C129" si="9">HYPERLINK("https://en.wikipedia.org/wiki/My_Woman_(album)","My Woman")</f>
        <v>My Woman</v>
      </c>
      <c r="D128" s="27">
        <v>2016</v>
      </c>
    </row>
    <row r="129" spans="1:4" ht="12.75">
      <c r="A129" s="19" t="s">
        <v>119</v>
      </c>
      <c r="B129" s="8">
        <v>172</v>
      </c>
      <c r="C129" s="9" t="str">
        <f t="shared" si="9"/>
        <v>My Woman</v>
      </c>
      <c r="D129" s="7">
        <v>2016</v>
      </c>
    </row>
    <row r="130" spans="1:4" ht="12.75">
      <c r="A130" s="35" t="s">
        <v>120</v>
      </c>
      <c r="B130" s="28">
        <v>156</v>
      </c>
      <c r="C130" s="29" t="str">
        <f>HYPERLINK("https://en.wikipedia.org/wiki/Burn_Your_Fire_for_No_Witness","Burn Your Fire for No Witness")</f>
        <v>Burn Your Fire for No Witness</v>
      </c>
      <c r="D130" s="27">
        <v>2014</v>
      </c>
    </row>
    <row r="131" spans="1:4" ht="12.75">
      <c r="A131" s="152"/>
      <c r="B131" s="153"/>
      <c r="C131" s="153"/>
      <c r="D131" s="154"/>
    </row>
    <row r="132" spans="1:4" ht="18">
      <c r="A132" s="18" t="s">
        <v>121</v>
      </c>
      <c r="B132" s="36">
        <v>42619</v>
      </c>
      <c r="C132" s="4"/>
      <c r="D132" s="37" t="s">
        <v>1</v>
      </c>
    </row>
    <row r="133" spans="1:4" ht="12.75">
      <c r="A133" s="26" t="s">
        <v>2</v>
      </c>
      <c r="B133" s="26" t="s">
        <v>3</v>
      </c>
      <c r="C133" s="26" t="s">
        <v>4</v>
      </c>
      <c r="D133" s="26" t="s">
        <v>5</v>
      </c>
    </row>
    <row r="134" spans="1:4" ht="12.75">
      <c r="A134" s="7" t="s">
        <v>122</v>
      </c>
      <c r="B134" s="8">
        <v>513</v>
      </c>
      <c r="C134" s="19" t="s">
        <v>123</v>
      </c>
      <c r="D134" s="7">
        <v>2007</v>
      </c>
    </row>
    <row r="135" spans="1:4" ht="12.75">
      <c r="A135" s="10" t="s">
        <v>124</v>
      </c>
      <c r="B135" s="11">
        <v>461</v>
      </c>
      <c r="C135" s="20" t="s">
        <v>125</v>
      </c>
      <c r="D135" s="10">
        <v>2005</v>
      </c>
    </row>
    <row r="136" spans="1:4" ht="12.75">
      <c r="A136" s="7" t="s">
        <v>126</v>
      </c>
      <c r="B136" s="8">
        <v>379</v>
      </c>
      <c r="C136" s="19" t="s">
        <v>123</v>
      </c>
      <c r="D136" s="7">
        <v>2007</v>
      </c>
    </row>
    <row r="137" spans="1:4" ht="12.75">
      <c r="A137" s="27" t="s">
        <v>127</v>
      </c>
      <c r="B137" s="28">
        <v>342</v>
      </c>
      <c r="C137" s="35" t="s">
        <v>125</v>
      </c>
      <c r="D137" s="27">
        <v>2005</v>
      </c>
    </row>
    <row r="138" spans="1:4" ht="12.75">
      <c r="A138" s="7" t="s">
        <v>128</v>
      </c>
      <c r="B138" s="8">
        <v>339</v>
      </c>
      <c r="C138" s="19" t="s">
        <v>129</v>
      </c>
      <c r="D138" s="7">
        <v>2009</v>
      </c>
    </row>
    <row r="139" spans="1:4" ht="12.75">
      <c r="A139" s="27" t="s">
        <v>130</v>
      </c>
      <c r="B139" s="28">
        <v>323</v>
      </c>
      <c r="C139" s="35" t="s">
        <v>125</v>
      </c>
      <c r="D139" s="27">
        <v>2005</v>
      </c>
    </row>
    <row r="140" spans="1:4" ht="12.75">
      <c r="A140" s="7" t="s">
        <v>131</v>
      </c>
      <c r="B140" s="8">
        <v>295</v>
      </c>
      <c r="C140" s="19" t="s">
        <v>132</v>
      </c>
      <c r="D140" s="7">
        <v>2009</v>
      </c>
    </row>
    <row r="141" spans="1:4" ht="12.75">
      <c r="A141" s="27" t="s">
        <v>133</v>
      </c>
      <c r="B141" s="28">
        <v>295</v>
      </c>
      <c r="C141" s="35" t="s">
        <v>132</v>
      </c>
      <c r="D141" s="27">
        <v>2009</v>
      </c>
    </row>
    <row r="142" spans="1:4" ht="12.75">
      <c r="A142" s="19" t="s">
        <v>134</v>
      </c>
      <c r="B142" s="8">
        <v>250</v>
      </c>
      <c r="C142" s="19" t="s">
        <v>132</v>
      </c>
      <c r="D142" s="7">
        <v>2009</v>
      </c>
    </row>
    <row r="143" spans="1:4" ht="12.75">
      <c r="A143" s="10" t="s">
        <v>135</v>
      </c>
      <c r="B143" s="11">
        <v>248</v>
      </c>
      <c r="C143" s="20" t="s">
        <v>132</v>
      </c>
      <c r="D143" s="10">
        <v>2009</v>
      </c>
    </row>
    <row r="144" spans="1:4" ht="12.75">
      <c r="A144" s="152"/>
      <c r="B144" s="153"/>
      <c r="C144" s="153"/>
      <c r="D144" s="154"/>
    </row>
    <row r="145" spans="1:4" ht="18">
      <c r="A145" s="22" t="str">
        <f>HYPERLINK("https://www.reddit.com/r/indieheads/comments/89f80l/top_ten_tuesday_the_antlers/","The Antlers")</f>
        <v>The Antlers</v>
      </c>
      <c r="B145" s="23">
        <v>43193</v>
      </c>
      <c r="C145" s="24"/>
      <c r="D145" s="25" t="s">
        <v>1</v>
      </c>
    </row>
    <row r="146" spans="1:4" ht="12.75">
      <c r="A146" s="26" t="s">
        <v>2</v>
      </c>
      <c r="B146" s="26" t="s">
        <v>3</v>
      </c>
      <c r="C146" s="26" t="s">
        <v>4</v>
      </c>
      <c r="D146" s="26" t="s">
        <v>5</v>
      </c>
    </row>
    <row r="147" spans="1:4" ht="12.75">
      <c r="A147" s="7" t="s">
        <v>136</v>
      </c>
      <c r="B147" s="8">
        <v>242</v>
      </c>
      <c r="C147" s="9" t="str">
        <f t="shared" ref="C147:C149" si="10">HYPERLINK("http://en.wikipedia.org/wiki/Hospice_(The_Antlers_album)","Hospice")</f>
        <v>Hospice</v>
      </c>
      <c r="D147" s="7">
        <v>2009</v>
      </c>
    </row>
    <row r="148" spans="1:4" ht="12.75">
      <c r="A148" s="27" t="s">
        <v>137</v>
      </c>
      <c r="B148" s="28">
        <v>228</v>
      </c>
      <c r="C148" s="38" t="str">
        <f t="shared" si="10"/>
        <v>Hospice</v>
      </c>
      <c r="D148" s="27">
        <v>2009</v>
      </c>
    </row>
    <row r="149" spans="1:4" ht="12.75">
      <c r="A149" s="7" t="s">
        <v>138</v>
      </c>
      <c r="B149" s="8">
        <v>228</v>
      </c>
      <c r="C149" s="9" t="str">
        <f t="shared" si="10"/>
        <v>Hospice</v>
      </c>
      <c r="D149" s="7">
        <v>2009</v>
      </c>
    </row>
    <row r="150" spans="1:4" ht="12.75">
      <c r="A150" s="10" t="s">
        <v>139</v>
      </c>
      <c r="B150" s="11">
        <v>189</v>
      </c>
      <c r="C150" s="12" t="str">
        <f>HYPERLINK("http://en.wikipedia.org/wiki/Burst_Apart","Burst Apart")</f>
        <v>Burst Apart</v>
      </c>
      <c r="D150" s="10">
        <v>2011</v>
      </c>
    </row>
    <row r="151" spans="1:4" ht="12.75">
      <c r="A151" s="7" t="s">
        <v>140</v>
      </c>
      <c r="B151" s="8">
        <v>184</v>
      </c>
      <c r="C151" s="9" t="str">
        <f t="shared" ref="C151:C153" si="11">HYPERLINK("http://en.wikipedia.org/wiki/Hospice_(The_Antlers_album)","Hospice")</f>
        <v>Hospice</v>
      </c>
      <c r="D151" s="7">
        <v>2009</v>
      </c>
    </row>
    <row r="152" spans="1:4" ht="12.75">
      <c r="A152" s="27" t="s">
        <v>141</v>
      </c>
      <c r="B152" s="28">
        <v>172</v>
      </c>
      <c r="C152" s="38" t="str">
        <f t="shared" si="11"/>
        <v>Hospice</v>
      </c>
      <c r="D152" s="27">
        <v>2009</v>
      </c>
    </row>
    <row r="153" spans="1:4" ht="12.75">
      <c r="A153" s="7" t="s">
        <v>142</v>
      </c>
      <c r="B153" s="8">
        <v>133</v>
      </c>
      <c r="C153" s="9" t="str">
        <f t="shared" si="11"/>
        <v>Hospice</v>
      </c>
      <c r="D153" s="7">
        <v>2009</v>
      </c>
    </row>
    <row r="154" spans="1:4" ht="12.75">
      <c r="A154" s="10" t="s">
        <v>143</v>
      </c>
      <c r="B154" s="11">
        <v>101</v>
      </c>
      <c r="C154" s="12" t="str">
        <f>HYPERLINK("http://en.wikipedia.org/wiki/Burst_Apart","Burst Apart")</f>
        <v>Burst Apart</v>
      </c>
      <c r="D154" s="10">
        <v>2011</v>
      </c>
    </row>
    <row r="155" spans="1:4" ht="12.75">
      <c r="A155" s="7" t="s">
        <v>144</v>
      </c>
      <c r="B155" s="8">
        <v>89</v>
      </c>
      <c r="C155" s="9" t="str">
        <f>HYPERLINK("http://en.wikipedia.org/wiki/Familiars_(The_Antlers_album)","Familiars")</f>
        <v>Familiars</v>
      </c>
      <c r="D155" s="7">
        <v>2014</v>
      </c>
    </row>
    <row r="156" spans="1:4" ht="12.75">
      <c r="A156" s="10" t="s">
        <v>145</v>
      </c>
      <c r="B156" s="11">
        <v>86</v>
      </c>
      <c r="C156" s="12" t="str">
        <f>HYPERLINK("https://en.wikipedia.org/wiki/Familiars_(album)","Familiars")</f>
        <v>Familiars</v>
      </c>
      <c r="D156" s="10">
        <v>2014</v>
      </c>
    </row>
    <row r="157" spans="1:4" ht="12.75">
      <c r="A157" s="152"/>
      <c r="B157" s="153"/>
      <c r="C157" s="153"/>
      <c r="D157" s="154"/>
    </row>
    <row r="158" spans="1:4" ht="18">
      <c r="A158" s="22" t="str">
        <f>HYPERLINK("https://www.reddit.com/r/indieheads/comments/3mw567/top_ten_tuesday_aphex_twin/","Aphex Twin")</f>
        <v>Aphex Twin</v>
      </c>
      <c r="B158" s="23">
        <v>42276</v>
      </c>
      <c r="C158" s="24"/>
      <c r="D158" s="39" t="s">
        <v>1</v>
      </c>
    </row>
    <row r="159" spans="1:4" ht="12.75">
      <c r="A159" s="26" t="s">
        <v>2</v>
      </c>
      <c r="B159" s="26" t="s">
        <v>3</v>
      </c>
      <c r="C159" s="26" t="s">
        <v>4</v>
      </c>
      <c r="D159" s="26" t="s">
        <v>5</v>
      </c>
    </row>
    <row r="160" spans="1:4" ht="12.75">
      <c r="A160" s="7" t="s">
        <v>146</v>
      </c>
      <c r="B160" s="8">
        <v>166</v>
      </c>
      <c r="C160" s="9" t="str">
        <f>HYPERLINK("https://en.wikipedia.org/wiki/Windowlicker","Windowlicker - Single")</f>
        <v>Windowlicker - Single</v>
      </c>
      <c r="D160" s="7">
        <v>1999</v>
      </c>
    </row>
    <row r="161" spans="1:4" ht="12.75">
      <c r="A161" s="27" t="s">
        <v>147</v>
      </c>
      <c r="B161" s="28">
        <v>145</v>
      </c>
      <c r="C161" s="38" t="str">
        <f>HYPERLINK("https://en.wikipedia.org/wiki/Selected_Ambient_Works_85%E2%80%9392","Selected Ambient Works 85-92 ")</f>
        <v xml:space="preserve">Selected Ambient Works 85-92 </v>
      </c>
      <c r="D161" s="27">
        <v>1992</v>
      </c>
    </row>
    <row r="162" spans="1:4" ht="12.75">
      <c r="A162" s="40">
        <v>4</v>
      </c>
      <c r="B162" s="8">
        <v>119</v>
      </c>
      <c r="C162" s="9" t="str">
        <f>HYPERLINK("https://en.wikipedia.org/wiki/Richard_D._James_Album","Richard D. James Album")</f>
        <v>Richard D. James Album</v>
      </c>
      <c r="D162" s="7">
        <v>1996</v>
      </c>
    </row>
    <row r="163" spans="1:4" ht="12.75">
      <c r="A163" s="27" t="s">
        <v>148</v>
      </c>
      <c r="B163" s="28">
        <v>83</v>
      </c>
      <c r="C163" s="38" t="str">
        <f>HYPERLINK("https://en.wikipedia.org/wiki/...I_Care_Because_You_Do","...I Care Because You Do")</f>
        <v>...I Care Because You Do</v>
      </c>
      <c r="D163" s="27">
        <v>1995</v>
      </c>
    </row>
    <row r="164" spans="1:4" ht="12.75">
      <c r="A164" s="7" t="s">
        <v>149</v>
      </c>
      <c r="B164" s="8">
        <v>82</v>
      </c>
      <c r="C164" s="9" t="str">
        <f>HYPERLINK("https://en.wikipedia.org/wiki/Richard_D._James_Album","Richard D. James Album")</f>
        <v>Richard D. James Album</v>
      </c>
      <c r="D164" s="7">
        <v>1996</v>
      </c>
    </row>
    <row r="165" spans="1:4" ht="12.75">
      <c r="A165" s="27" t="s">
        <v>3931</v>
      </c>
      <c r="B165" s="28">
        <v>79</v>
      </c>
      <c r="C165" s="38" t="str">
        <f>HYPERLINK("https://en.wikipedia.org/wiki/Selected_Ambient_Works_Volume_II","Selected Ambient Works Volume II")</f>
        <v>Selected Ambient Works Volume II</v>
      </c>
      <c r="D165" s="27">
        <v>1994</v>
      </c>
    </row>
    <row r="166" spans="1:4" ht="12.75">
      <c r="A166" s="7" t="s">
        <v>150</v>
      </c>
      <c r="B166" s="8">
        <v>77</v>
      </c>
      <c r="C166" s="9" t="str">
        <f>HYPERLINK("https://en.wikipedia.org/wiki/Come_to_Daddy","Come to Daddy")</f>
        <v>Come to Daddy</v>
      </c>
      <c r="D166" s="7">
        <v>1997</v>
      </c>
    </row>
    <row r="167" spans="1:4" ht="12.75">
      <c r="A167" s="27" t="s">
        <v>151</v>
      </c>
      <c r="B167" s="28">
        <v>58</v>
      </c>
      <c r="C167" s="38" t="str">
        <f>HYPERLINK("https://en.wikipedia.org/wiki/Drukqs","Drukqs")</f>
        <v>Drukqs</v>
      </c>
      <c r="D167" s="27">
        <v>2001</v>
      </c>
    </row>
    <row r="168" spans="1:4" ht="12.75">
      <c r="A168" s="7" t="s">
        <v>152</v>
      </c>
      <c r="B168" s="8">
        <v>54</v>
      </c>
      <c r="C168" s="9" t="str">
        <f>HYPERLINK("https://en.wikipedia.org/wiki/Syro","Syro")</f>
        <v>Syro</v>
      </c>
      <c r="D168" s="7">
        <v>2014</v>
      </c>
    </row>
    <row r="169" spans="1:4" ht="12.75">
      <c r="A169" s="27" t="s">
        <v>153</v>
      </c>
      <c r="B169" s="28">
        <v>53</v>
      </c>
      <c r="C169" s="38" t="str">
        <f>HYPERLINK("https://en.wikipedia.org/wiki/Selected_Ambient_Works_85%E2%80%9392","Selected Ambient Works 85-92")</f>
        <v>Selected Ambient Works 85-92</v>
      </c>
      <c r="D169" s="27">
        <v>1992</v>
      </c>
    </row>
    <row r="170" spans="1:4" ht="12.75">
      <c r="A170" s="152"/>
      <c r="B170" s="153"/>
      <c r="C170" s="153"/>
      <c r="D170" s="154"/>
    </row>
    <row r="171" spans="1:4" ht="18">
      <c r="A171" s="22" t="s">
        <v>154</v>
      </c>
      <c r="B171" s="30">
        <v>44334</v>
      </c>
      <c r="C171" s="24"/>
      <c r="D171" s="32" t="s">
        <v>1</v>
      </c>
    </row>
    <row r="172" spans="1:4" ht="12.75">
      <c r="A172" s="26" t="s">
        <v>2</v>
      </c>
      <c r="B172" s="34" t="s">
        <v>3</v>
      </c>
      <c r="C172" s="33" t="s">
        <v>4</v>
      </c>
      <c r="D172" s="26" t="s">
        <v>5</v>
      </c>
    </row>
    <row r="173" spans="1:4" ht="12.75">
      <c r="A173" s="7" t="s">
        <v>155</v>
      </c>
      <c r="B173" s="8">
        <v>56</v>
      </c>
      <c r="C173" s="9" t="s">
        <v>156</v>
      </c>
      <c r="D173" s="7">
        <v>1995</v>
      </c>
    </row>
    <row r="174" spans="1:4" ht="12.75">
      <c r="A174" s="27" t="s">
        <v>157</v>
      </c>
      <c r="B174" s="28">
        <v>31</v>
      </c>
      <c r="C174" s="29" t="s">
        <v>156</v>
      </c>
      <c r="D174" s="27">
        <v>1995</v>
      </c>
    </row>
    <row r="175" spans="1:4" ht="12.75">
      <c r="A175" s="7" t="s">
        <v>158</v>
      </c>
      <c r="B175" s="8">
        <v>31</v>
      </c>
      <c r="C175" s="9" t="s">
        <v>159</v>
      </c>
      <c r="D175" s="7">
        <v>2007</v>
      </c>
    </row>
    <row r="176" spans="1:4" ht="12.75">
      <c r="A176" s="27" t="s">
        <v>160</v>
      </c>
      <c r="B176" s="28">
        <v>30</v>
      </c>
      <c r="C176" s="29" t="s">
        <v>161</v>
      </c>
      <c r="D176" s="27">
        <v>1999</v>
      </c>
    </row>
    <row r="177" spans="1:4" ht="12.75">
      <c r="A177" s="7" t="s">
        <v>162</v>
      </c>
      <c r="B177" s="8">
        <v>29</v>
      </c>
      <c r="C177" s="9" t="s">
        <v>161</v>
      </c>
      <c r="D177" s="7">
        <v>1999</v>
      </c>
    </row>
    <row r="178" spans="1:4" ht="12.75">
      <c r="A178" s="27" t="s">
        <v>163</v>
      </c>
      <c r="B178" s="28">
        <v>24</v>
      </c>
      <c r="C178" s="29" t="s">
        <v>156</v>
      </c>
      <c r="D178" s="27">
        <v>1995</v>
      </c>
    </row>
    <row r="179" spans="1:4" ht="12.75">
      <c r="A179" s="7" t="s">
        <v>164</v>
      </c>
      <c r="B179" s="8">
        <v>23</v>
      </c>
      <c r="C179" s="9" t="s">
        <v>165</v>
      </c>
      <c r="D179" s="7">
        <v>1997</v>
      </c>
    </row>
    <row r="180" spans="1:4" ht="12.75">
      <c r="A180" s="27" t="s">
        <v>166</v>
      </c>
      <c r="B180" s="28">
        <v>20</v>
      </c>
      <c r="C180" s="29" t="s">
        <v>161</v>
      </c>
      <c r="D180" s="27">
        <v>1999</v>
      </c>
    </row>
    <row r="181" spans="1:4" ht="12.75">
      <c r="A181" s="7" t="s">
        <v>167</v>
      </c>
      <c r="B181" s="8">
        <v>20</v>
      </c>
      <c r="C181" s="9" t="s">
        <v>156</v>
      </c>
      <c r="D181" s="7">
        <v>1995</v>
      </c>
    </row>
    <row r="182" spans="1:4" ht="12.75">
      <c r="A182" s="27" t="s">
        <v>168</v>
      </c>
      <c r="B182" s="28">
        <v>19</v>
      </c>
      <c r="C182" s="29" t="s">
        <v>161</v>
      </c>
      <c r="D182" s="27">
        <v>1999</v>
      </c>
    </row>
    <row r="183" spans="1:4" ht="12.75">
      <c r="A183" s="152"/>
      <c r="B183" s="153"/>
      <c r="C183" s="153"/>
      <c r="D183" s="154"/>
    </row>
    <row r="184" spans="1:4" ht="18">
      <c r="A184" s="22" t="str">
        <f>HYPERLINK("https://www.reddit.com/r/indieheads/comments/7g3q6q/top_ten_tuesday_arcade_fire/","Arcade Fire")</f>
        <v>Arcade Fire</v>
      </c>
      <c r="B184" s="23">
        <v>43067</v>
      </c>
      <c r="C184" s="24"/>
      <c r="D184" s="25" t="s">
        <v>1</v>
      </c>
    </row>
    <row r="185" spans="1:4" ht="12.75">
      <c r="A185" s="26" t="s">
        <v>2</v>
      </c>
      <c r="B185" s="26" t="s">
        <v>3</v>
      </c>
      <c r="C185" s="26" t="s">
        <v>4</v>
      </c>
      <c r="D185" s="26" t="s">
        <v>5</v>
      </c>
    </row>
    <row r="186" spans="1:4" ht="12.75">
      <c r="A186" s="7" t="s">
        <v>169</v>
      </c>
      <c r="B186" s="8">
        <v>1969</v>
      </c>
      <c r="C186" s="9" t="str">
        <f>HYPERLINK("http://en.wikipedia.org/wiki/Funeral_(album)","Funeral")</f>
        <v>Funeral</v>
      </c>
      <c r="D186" s="7">
        <v>2004</v>
      </c>
    </row>
    <row r="187" spans="1:4" ht="12.75">
      <c r="A187" s="10" t="s">
        <v>170</v>
      </c>
      <c r="B187" s="11">
        <v>1509</v>
      </c>
      <c r="C187" s="12" t="str">
        <f>HYPERLINK("http://en.wikipedia.org/wiki/The_Suburbs_(album)","The Suburbs")</f>
        <v>The Suburbs</v>
      </c>
      <c r="D187" s="10">
        <v>2010</v>
      </c>
    </row>
    <row r="188" spans="1:4" ht="12.75">
      <c r="A188" s="7" t="s">
        <v>171</v>
      </c>
      <c r="B188" s="8">
        <v>1377</v>
      </c>
      <c r="C188" s="9" t="str">
        <f t="shared" ref="C188:C189" si="12">HYPERLINK("http://en.wikipedia.org/wiki/Funeral_(album)","Funeral")</f>
        <v>Funeral</v>
      </c>
      <c r="D188" s="7">
        <v>2004</v>
      </c>
    </row>
    <row r="189" spans="1:4" ht="12.75">
      <c r="A189" s="27" t="s">
        <v>172</v>
      </c>
      <c r="B189" s="28">
        <v>1264</v>
      </c>
      <c r="C189" s="38" t="str">
        <f t="shared" si="12"/>
        <v>Funeral</v>
      </c>
      <c r="D189" s="27">
        <v>2004</v>
      </c>
    </row>
    <row r="190" spans="1:4" ht="12.75">
      <c r="A190" s="7" t="s">
        <v>173</v>
      </c>
      <c r="B190" s="8">
        <v>1123</v>
      </c>
      <c r="C190" s="9" t="str">
        <f>HYPERLINK("http://en.wikipedia.org/wiki/The_Suburbs_(album)","The Suburbs")</f>
        <v>The Suburbs</v>
      </c>
      <c r="D190" s="7">
        <v>2010</v>
      </c>
    </row>
    <row r="191" spans="1:4" ht="12.75">
      <c r="A191" s="27" t="s">
        <v>174</v>
      </c>
      <c r="B191" s="28">
        <v>974</v>
      </c>
      <c r="C191" s="38" t="str">
        <f>HYPERLINK("http://en.wikipedia.org/wiki/Reflektor","Reflektor")</f>
        <v>Reflektor</v>
      </c>
      <c r="D191" s="27">
        <v>2013</v>
      </c>
    </row>
    <row r="192" spans="1:4" ht="12.75">
      <c r="A192" s="7" t="s">
        <v>175</v>
      </c>
      <c r="B192" s="8">
        <v>819</v>
      </c>
      <c r="C192" s="9" t="str">
        <f>HYPERLINK("http://en.wikipedia.org/wiki/Funeral_(album)","Funeral")</f>
        <v>Funeral</v>
      </c>
      <c r="D192" s="7">
        <v>2004</v>
      </c>
    </row>
    <row r="193" spans="1:4" ht="12.75">
      <c r="A193" s="27" t="s">
        <v>176</v>
      </c>
      <c r="B193" s="28">
        <v>796</v>
      </c>
      <c r="C193" s="38" t="str">
        <f>HYPERLINK("http://en.wikipedia.org/wiki/Neon_Bible","Neon Bible")</f>
        <v>Neon Bible</v>
      </c>
      <c r="D193" s="27">
        <v>2007</v>
      </c>
    </row>
    <row r="194" spans="1:4" ht="12.75">
      <c r="A194" s="7" t="s">
        <v>177</v>
      </c>
      <c r="B194" s="8">
        <v>625</v>
      </c>
      <c r="C194" s="9" t="str">
        <f>HYPERLINK("https://en.wikipedia.org/wiki/Funeral_(album)","Funeral")</f>
        <v>Funeral</v>
      </c>
      <c r="D194" s="7">
        <v>2004</v>
      </c>
    </row>
    <row r="195" spans="1:4" ht="12.75">
      <c r="A195" s="27" t="s">
        <v>178</v>
      </c>
      <c r="B195" s="28">
        <v>619</v>
      </c>
      <c r="C195" s="38" t="str">
        <f>HYPERLINK("http://en.wikipedia.org/wiki/Reflektor","Reflektor")</f>
        <v>Reflektor</v>
      </c>
      <c r="D195" s="27">
        <v>2013</v>
      </c>
    </row>
    <row r="196" spans="1:4" ht="12.75">
      <c r="A196" s="152"/>
      <c r="B196" s="153"/>
      <c r="C196" s="153"/>
      <c r="D196" s="154"/>
    </row>
    <row r="197" spans="1:4" ht="18">
      <c r="A197" s="22" t="s">
        <v>179</v>
      </c>
      <c r="B197" s="30">
        <v>44173</v>
      </c>
      <c r="C197" s="24"/>
      <c r="D197" s="32" t="s">
        <v>1</v>
      </c>
    </row>
    <row r="198" spans="1:4" ht="12.75">
      <c r="A198" s="26" t="s">
        <v>2</v>
      </c>
      <c r="B198" s="26" t="s">
        <v>3</v>
      </c>
      <c r="C198" s="26" t="s">
        <v>4</v>
      </c>
      <c r="D198" s="26" t="s">
        <v>5</v>
      </c>
    </row>
    <row r="199" spans="1:4" ht="12.75">
      <c r="A199" s="7" t="s">
        <v>180</v>
      </c>
      <c r="B199" s="8">
        <v>88</v>
      </c>
      <c r="C199" s="9" t="s">
        <v>181</v>
      </c>
      <c r="D199" s="7">
        <v>1993</v>
      </c>
    </row>
    <row r="200" spans="1:4" ht="12.75">
      <c r="A200" s="27" t="s">
        <v>182</v>
      </c>
      <c r="B200" s="28">
        <v>64</v>
      </c>
      <c r="C200" s="29" t="s">
        <v>181</v>
      </c>
      <c r="D200" s="27">
        <v>1993</v>
      </c>
    </row>
    <row r="201" spans="1:4" ht="12.75">
      <c r="A201" s="7" t="s">
        <v>183</v>
      </c>
      <c r="B201" s="8">
        <v>64</v>
      </c>
      <c r="C201" s="9" t="s">
        <v>184</v>
      </c>
      <c r="D201" s="7">
        <v>1995</v>
      </c>
    </row>
    <row r="202" spans="1:4" ht="12.75">
      <c r="A202" s="27" t="s">
        <v>185</v>
      </c>
      <c r="B202" s="28">
        <v>54</v>
      </c>
      <c r="C202" s="29" t="s">
        <v>181</v>
      </c>
      <c r="D202" s="27">
        <v>1993</v>
      </c>
    </row>
    <row r="203" spans="1:4" ht="12.75">
      <c r="A203" s="7" t="s">
        <v>186</v>
      </c>
      <c r="B203" s="8">
        <v>49</v>
      </c>
      <c r="C203" s="9" t="s">
        <v>184</v>
      </c>
      <c r="D203" s="7">
        <v>1995</v>
      </c>
    </row>
    <row r="204" spans="1:4" ht="12.75">
      <c r="A204" s="27" t="s">
        <v>187</v>
      </c>
      <c r="B204" s="28">
        <v>45</v>
      </c>
      <c r="C204" s="29" t="s">
        <v>188</v>
      </c>
      <c r="D204" s="27">
        <v>1994</v>
      </c>
    </row>
    <row r="205" spans="1:4" ht="12.75">
      <c r="A205" s="7" t="s">
        <v>189</v>
      </c>
      <c r="B205" s="8">
        <v>42</v>
      </c>
      <c r="C205" s="9" t="s">
        <v>188</v>
      </c>
      <c r="D205" s="7">
        <v>1994</v>
      </c>
    </row>
    <row r="206" spans="1:4" ht="12.75">
      <c r="A206" s="27" t="s">
        <v>190</v>
      </c>
      <c r="B206" s="28">
        <v>35</v>
      </c>
      <c r="C206" s="29" t="s">
        <v>181</v>
      </c>
      <c r="D206" s="27">
        <v>1993</v>
      </c>
    </row>
    <row r="207" spans="1:4" ht="12.75">
      <c r="A207" s="7" t="s">
        <v>191</v>
      </c>
      <c r="B207" s="8">
        <v>35</v>
      </c>
      <c r="C207" s="9" t="s">
        <v>188</v>
      </c>
      <c r="D207" s="7">
        <v>1994</v>
      </c>
    </row>
    <row r="208" spans="1:4" ht="12.75">
      <c r="A208" s="27" t="s">
        <v>192</v>
      </c>
      <c r="B208" s="28">
        <v>27</v>
      </c>
      <c r="C208" s="29" t="s">
        <v>193</v>
      </c>
      <c r="D208" s="27">
        <v>1996</v>
      </c>
    </row>
    <row r="209" spans="1:4" ht="12.75">
      <c r="A209" s="152"/>
      <c r="B209" s="153"/>
      <c r="C209" s="153"/>
      <c r="D209" s="154"/>
    </row>
    <row r="210" spans="1:4" ht="18">
      <c r="A210" s="41" t="s">
        <v>194</v>
      </c>
      <c r="B210" s="23">
        <v>44910</v>
      </c>
      <c r="C210" s="24"/>
      <c r="D210" s="32"/>
    </row>
    <row r="211" spans="1:4" ht="12.75">
      <c r="A211" s="26" t="s">
        <v>2</v>
      </c>
      <c r="B211" s="26" t="s">
        <v>3</v>
      </c>
      <c r="C211" s="26" t="s">
        <v>4</v>
      </c>
      <c r="D211" s="26" t="s">
        <v>5</v>
      </c>
    </row>
    <row r="212" spans="1:4" ht="12.75">
      <c r="A212" s="19" t="s">
        <v>195</v>
      </c>
      <c r="B212" s="8">
        <v>429</v>
      </c>
      <c r="C212" s="19" t="s">
        <v>196</v>
      </c>
      <c r="D212" s="7">
        <v>2006</v>
      </c>
    </row>
    <row r="213" spans="1:4" ht="12.75">
      <c r="A213" s="42">
        <v>505</v>
      </c>
      <c r="B213" s="28">
        <v>418</v>
      </c>
      <c r="C213" s="35" t="s">
        <v>197</v>
      </c>
      <c r="D213" s="27">
        <v>2007</v>
      </c>
    </row>
    <row r="214" spans="1:4" ht="12.75">
      <c r="A214" s="19" t="s">
        <v>198</v>
      </c>
      <c r="B214" s="8">
        <v>361</v>
      </c>
      <c r="C214" s="19" t="s">
        <v>197</v>
      </c>
      <c r="D214" s="7">
        <v>2007</v>
      </c>
    </row>
    <row r="215" spans="1:4" ht="12.75">
      <c r="A215" s="20" t="s">
        <v>199</v>
      </c>
      <c r="B215" s="11">
        <v>309</v>
      </c>
      <c r="C215" s="20" t="s">
        <v>200</v>
      </c>
      <c r="D215" s="10">
        <v>2009</v>
      </c>
    </row>
    <row r="216" spans="1:4" ht="12.75">
      <c r="A216" s="19" t="s">
        <v>201</v>
      </c>
      <c r="B216" s="8">
        <v>214</v>
      </c>
      <c r="C216" s="19" t="s">
        <v>200</v>
      </c>
      <c r="D216" s="7">
        <v>2009</v>
      </c>
    </row>
    <row r="217" spans="1:4" ht="12.75">
      <c r="A217" s="35" t="s">
        <v>202</v>
      </c>
      <c r="B217" s="28">
        <v>194</v>
      </c>
      <c r="C217" s="35" t="s">
        <v>197</v>
      </c>
      <c r="D217" s="27">
        <v>2007</v>
      </c>
    </row>
    <row r="218" spans="1:4" ht="12.75">
      <c r="A218" s="19" t="s">
        <v>203</v>
      </c>
      <c r="B218" s="8">
        <v>184</v>
      </c>
      <c r="C218" s="19" t="s">
        <v>196</v>
      </c>
      <c r="D218" s="7">
        <v>2006</v>
      </c>
    </row>
    <row r="219" spans="1:4" ht="12.75">
      <c r="A219" s="20" t="s">
        <v>204</v>
      </c>
      <c r="B219" s="11">
        <v>183</v>
      </c>
      <c r="C219" s="20" t="s">
        <v>205</v>
      </c>
      <c r="D219" s="10">
        <v>2013</v>
      </c>
    </row>
    <row r="220" spans="1:4" ht="12.75">
      <c r="A220" s="19" t="s">
        <v>206</v>
      </c>
      <c r="B220" s="8">
        <v>181</v>
      </c>
      <c r="C220" s="19" t="s">
        <v>196</v>
      </c>
      <c r="D220" s="7">
        <v>2006</v>
      </c>
    </row>
    <row r="221" spans="1:4" ht="12.75">
      <c r="A221" s="20" t="s">
        <v>207</v>
      </c>
      <c r="B221" s="11">
        <v>154</v>
      </c>
      <c r="C221" s="20" t="s">
        <v>196</v>
      </c>
      <c r="D221" s="10">
        <v>2006</v>
      </c>
    </row>
    <row r="222" spans="1:4" ht="12.75">
      <c r="A222" s="152"/>
      <c r="B222" s="153"/>
      <c r="C222" s="153"/>
      <c r="D222" s="154"/>
    </row>
    <row r="223" spans="1:4" ht="18">
      <c r="A223" s="22" t="str">
        <f>HYPERLINK("https://www.reddit.com/r/indieheads/comments/49jigl/top_ten_tuesday_ariel_pink/","Ariel Pink")</f>
        <v>Ariel Pink</v>
      </c>
      <c r="B223" s="23">
        <v>42437</v>
      </c>
      <c r="C223" s="24"/>
      <c r="D223" s="25" t="s">
        <v>1</v>
      </c>
    </row>
    <row r="224" spans="1:4" ht="12.75">
      <c r="A224" s="26" t="s">
        <v>2</v>
      </c>
      <c r="B224" s="26" t="s">
        <v>3</v>
      </c>
      <c r="C224" s="26" t="s">
        <v>4</v>
      </c>
      <c r="D224" s="26" t="s">
        <v>5</v>
      </c>
    </row>
    <row r="225" spans="1:4" ht="12.75">
      <c r="A225" s="7" t="s">
        <v>208</v>
      </c>
      <c r="B225" s="8">
        <v>115</v>
      </c>
      <c r="C225" s="9" t="str">
        <f>HYPERLINK("https://en.wikipedia.org/wiki/Before_Today_(album)","Before Today")</f>
        <v>Before Today</v>
      </c>
      <c r="D225" s="7">
        <v>2010</v>
      </c>
    </row>
    <row r="226" spans="1:4" ht="12.75">
      <c r="A226" s="27" t="s">
        <v>209</v>
      </c>
      <c r="B226" s="28">
        <v>99</v>
      </c>
      <c r="C226" s="38" t="str">
        <f>HYPERLINK("https://en.wikipedia.org/wiki/Mature_Themes","Mature Themes")</f>
        <v>Mature Themes</v>
      </c>
      <c r="D226" s="27">
        <v>2012</v>
      </c>
    </row>
    <row r="227" spans="1:4" ht="12.75">
      <c r="A227" s="7" t="s">
        <v>210</v>
      </c>
      <c r="B227" s="8">
        <v>80</v>
      </c>
      <c r="C227" s="9" t="str">
        <f t="shared" ref="C227:C232" si="13">HYPERLINK("https://en.wikipedia.org/wiki/Pom_pom_(album)","Pom Pom")</f>
        <v>Pom Pom</v>
      </c>
      <c r="D227" s="7">
        <v>2014</v>
      </c>
    </row>
    <row r="228" spans="1:4" ht="12.75">
      <c r="A228" s="27" t="s">
        <v>211</v>
      </c>
      <c r="B228" s="28">
        <v>78</v>
      </c>
      <c r="C228" s="38" t="str">
        <f t="shared" si="13"/>
        <v>Pom Pom</v>
      </c>
      <c r="D228" s="27">
        <v>2014</v>
      </c>
    </row>
    <row r="229" spans="1:4" ht="12.75">
      <c r="A229" s="7" t="s">
        <v>212</v>
      </c>
      <c r="B229" s="8">
        <v>66</v>
      </c>
      <c r="C229" s="9" t="str">
        <f t="shared" si="13"/>
        <v>Pom Pom</v>
      </c>
      <c r="D229" s="7">
        <v>2014</v>
      </c>
    </row>
    <row r="230" spans="1:4" ht="12.75">
      <c r="A230" s="27" t="s">
        <v>213</v>
      </c>
      <c r="B230" s="28">
        <v>66</v>
      </c>
      <c r="C230" s="38" t="str">
        <f t="shared" si="13"/>
        <v>Pom Pom</v>
      </c>
      <c r="D230" s="27">
        <v>2014</v>
      </c>
    </row>
    <row r="231" spans="1:4" ht="12.75">
      <c r="A231" s="7" t="s">
        <v>214</v>
      </c>
      <c r="B231" s="8">
        <v>61</v>
      </c>
      <c r="C231" s="9" t="str">
        <f t="shared" si="13"/>
        <v>Pom Pom</v>
      </c>
      <c r="D231" s="7">
        <v>2014</v>
      </c>
    </row>
    <row r="232" spans="1:4" ht="12.75">
      <c r="A232" s="27" t="s">
        <v>215</v>
      </c>
      <c r="B232" s="28">
        <v>57</v>
      </c>
      <c r="C232" s="38" t="str">
        <f t="shared" si="13"/>
        <v>Pom Pom</v>
      </c>
      <c r="D232" s="27">
        <v>2014</v>
      </c>
    </row>
    <row r="233" spans="1:4" ht="12.75">
      <c r="A233" s="7" t="s">
        <v>216</v>
      </c>
      <c r="B233" s="8">
        <v>44</v>
      </c>
      <c r="C233" s="9" t="str">
        <f>HYPERLINK("https://en.wikipedia.org/wiki/House_Arrest_(album)","House Arrest")</f>
        <v>House Arrest</v>
      </c>
      <c r="D233" s="7">
        <v>2002</v>
      </c>
    </row>
    <row r="234" spans="1:4" ht="12.75">
      <c r="A234" s="27" t="s">
        <v>217</v>
      </c>
      <c r="B234" s="28">
        <v>41</v>
      </c>
      <c r="C234" s="29" t="str">
        <f>HYPERLINK("https://en.wikipedia.org/wiki/Before_Today_(album)","Before Today")</f>
        <v>Before Today</v>
      </c>
      <c r="D234" s="27">
        <v>2010</v>
      </c>
    </row>
    <row r="235" spans="1:4" ht="12.75">
      <c r="A235" s="152"/>
      <c r="B235" s="153"/>
      <c r="C235" s="153"/>
      <c r="D235" s="154"/>
    </row>
    <row r="236" spans="1:4" ht="18">
      <c r="A236" s="22" t="str">
        <f>HYPERLINK("https://www.reddit.com/r/indieheads/comments/82eqvs/top_ten_tuesday_the_avalanches/","The Avalanches")</f>
        <v>The Avalanches</v>
      </c>
      <c r="B236" s="30">
        <v>43165</v>
      </c>
      <c r="C236" s="24"/>
      <c r="D236" s="25" t="s">
        <v>1</v>
      </c>
    </row>
    <row r="237" spans="1:4" ht="12.75">
      <c r="A237" s="26" t="s">
        <v>2</v>
      </c>
      <c r="B237" s="26" t="s">
        <v>3</v>
      </c>
      <c r="C237" s="26" t="s">
        <v>4</v>
      </c>
      <c r="D237" s="26" t="s">
        <v>5</v>
      </c>
    </row>
    <row r="238" spans="1:4" ht="12.75">
      <c r="A238" s="7" t="s">
        <v>218</v>
      </c>
      <c r="B238" s="8">
        <v>541</v>
      </c>
      <c r="C238" s="9" t="str">
        <f>HYPERLINK("https://en.wikipedia.org/wiki/Since_I_Left_You","Since I Left You")</f>
        <v>Since I Left You</v>
      </c>
      <c r="D238" s="7">
        <v>2000</v>
      </c>
    </row>
    <row r="239" spans="1:4" ht="12.75">
      <c r="A239" s="27" t="s">
        <v>219</v>
      </c>
      <c r="B239" s="28">
        <v>412</v>
      </c>
      <c r="C239" s="38" t="str">
        <f>HYPERLINK("https://en.wikipedia.org/wiki/Wildflower_(The_Avalanches_album)","Wildflower")</f>
        <v>Wildflower</v>
      </c>
      <c r="D239" s="27">
        <v>2016</v>
      </c>
    </row>
    <row r="240" spans="1:4" ht="12.75">
      <c r="A240" s="7" t="s">
        <v>220</v>
      </c>
      <c r="B240" s="8">
        <v>317</v>
      </c>
      <c r="C240" s="9" t="str">
        <f t="shared" ref="C240:C241" si="14">HYPERLINK("https://en.wikipedia.org/wiki/Since_I_Left_You","Since I Left You")</f>
        <v>Since I Left You</v>
      </c>
      <c r="D240" s="7">
        <v>2000</v>
      </c>
    </row>
    <row r="241" spans="1:4" ht="12.75">
      <c r="A241" s="27" t="s">
        <v>221</v>
      </c>
      <c r="B241" s="28">
        <v>291</v>
      </c>
      <c r="C241" s="38" t="str">
        <f t="shared" si="14"/>
        <v>Since I Left You</v>
      </c>
      <c r="D241" s="27">
        <v>1999</v>
      </c>
    </row>
    <row r="242" spans="1:4" ht="12.75">
      <c r="A242" s="7" t="s">
        <v>222</v>
      </c>
      <c r="B242" s="8">
        <v>227</v>
      </c>
      <c r="C242" s="9" t="str">
        <f t="shared" ref="C242:C243" si="15">HYPERLINK("https://en.wikipedia.org/wiki/Wildflower_(The_Avalanches_album)","Wildflower")</f>
        <v>Wildflower</v>
      </c>
      <c r="D242" s="7">
        <v>2016</v>
      </c>
    </row>
    <row r="243" spans="1:4" ht="12.75">
      <c r="A243" s="27" t="s">
        <v>223</v>
      </c>
      <c r="B243" s="28">
        <v>226</v>
      </c>
      <c r="C243" s="38" t="str">
        <f t="shared" si="15"/>
        <v>Wildflower</v>
      </c>
      <c r="D243" s="27">
        <v>2016</v>
      </c>
    </row>
    <row r="244" spans="1:4" ht="12.75">
      <c r="A244" s="7" t="s">
        <v>224</v>
      </c>
      <c r="B244" s="8">
        <v>174</v>
      </c>
      <c r="C244" s="9" t="str">
        <f>HYPERLINK("https://en.wikipedia.org/wiki/Since_I_Left_You","Since I Left You")</f>
        <v>Since I Left You</v>
      </c>
      <c r="D244" s="7">
        <v>2000</v>
      </c>
    </row>
    <row r="245" spans="1:4" ht="12.75">
      <c r="A245" s="27" t="s">
        <v>225</v>
      </c>
      <c r="B245" s="28">
        <v>163</v>
      </c>
      <c r="C245" s="38" t="str">
        <f>HYPERLINK("https://en.wikipedia.org/wiki/Wildflower_(The_Avalanches_album)","Wildflower")</f>
        <v>Wildflower</v>
      </c>
      <c r="D245" s="27">
        <v>2016</v>
      </c>
    </row>
    <row r="246" spans="1:4" ht="12.75">
      <c r="A246" s="7" t="s">
        <v>226</v>
      </c>
      <c r="B246" s="8">
        <v>154</v>
      </c>
      <c r="C246" s="9" t="str">
        <f t="shared" ref="C246:C247" si="16">HYPERLINK("https://en.wikipedia.org/wiki/Since_I_Left_You","Since I Left You")</f>
        <v>Since I Left You</v>
      </c>
      <c r="D246" s="7">
        <v>2000</v>
      </c>
    </row>
    <row r="247" spans="1:4" ht="12.75">
      <c r="A247" s="27" t="s">
        <v>227</v>
      </c>
      <c r="B247" s="28">
        <v>147</v>
      </c>
      <c r="C247" s="29" t="str">
        <f t="shared" si="16"/>
        <v>Since I Left You</v>
      </c>
      <c r="D247" s="27">
        <v>2000</v>
      </c>
    </row>
    <row r="248" spans="1:4" ht="12.75">
      <c r="A248" s="152"/>
      <c r="B248" s="153"/>
      <c r="C248" s="153"/>
      <c r="D248" s="154"/>
    </row>
    <row r="249" spans="1:4" ht="18">
      <c r="A249" s="22" t="str">
        <f>HYPERLINK("https://www.reddit.com/r/indieheads/comments/6wr0b3/top_ten_tuesday_band_of_horses/","Band of Horses")</f>
        <v>Band of Horses</v>
      </c>
      <c r="B249" s="30">
        <v>42976</v>
      </c>
      <c r="C249" s="24"/>
      <c r="D249" s="25" t="s">
        <v>1</v>
      </c>
    </row>
    <row r="250" spans="1:4" ht="12.75">
      <c r="A250" s="26" t="s">
        <v>2</v>
      </c>
      <c r="B250" s="26" t="s">
        <v>3</v>
      </c>
      <c r="C250" s="26" t="s">
        <v>4</v>
      </c>
      <c r="D250" s="26" t="s">
        <v>5</v>
      </c>
    </row>
    <row r="251" spans="1:4" ht="12.75">
      <c r="A251" s="7" t="s">
        <v>228</v>
      </c>
      <c r="B251" s="8">
        <v>60</v>
      </c>
      <c r="C251" s="9" t="str">
        <f>HYPERLINK("https://en.wikipedia.org/wiki/Cease_to_Begin","Cease to Begin")</f>
        <v>Cease to Begin</v>
      </c>
      <c r="D251" s="7">
        <v>2007</v>
      </c>
    </row>
    <row r="252" spans="1:4" ht="12.75">
      <c r="A252" s="27" t="s">
        <v>229</v>
      </c>
      <c r="B252" s="28">
        <v>57</v>
      </c>
      <c r="C252" s="38" t="str">
        <f t="shared" ref="C252:C253" si="17">HYPERLINK("https://en.wikipedia.org/wiki/Everything_All_the_Time","Everything All the Time")</f>
        <v>Everything All the Time</v>
      </c>
      <c r="D252" s="27">
        <v>2006</v>
      </c>
    </row>
    <row r="253" spans="1:4" ht="12.75">
      <c r="A253" s="7" t="s">
        <v>230</v>
      </c>
      <c r="B253" s="8">
        <v>50</v>
      </c>
      <c r="C253" s="9" t="str">
        <f t="shared" si="17"/>
        <v>Everything All the Time</v>
      </c>
      <c r="D253" s="7">
        <v>2006</v>
      </c>
    </row>
    <row r="254" spans="1:4" ht="12.75">
      <c r="A254" s="27" t="s">
        <v>231</v>
      </c>
      <c r="B254" s="28">
        <v>43</v>
      </c>
      <c r="C254" s="38" t="str">
        <f t="shared" ref="C254:C255" si="18">HYPERLINK("https://en.wikipedia.org/wiki/Cease_to_Begin","Cease to Begin")</f>
        <v>Cease to Begin</v>
      </c>
      <c r="D254" s="27">
        <v>2007</v>
      </c>
    </row>
    <row r="255" spans="1:4" ht="12.75">
      <c r="A255" s="7" t="s">
        <v>232</v>
      </c>
      <c r="B255" s="8">
        <v>42</v>
      </c>
      <c r="C255" s="9" t="str">
        <f t="shared" si="18"/>
        <v>Cease to Begin</v>
      </c>
      <c r="D255" s="7">
        <v>2007</v>
      </c>
    </row>
    <row r="256" spans="1:4" ht="12.75">
      <c r="A256" s="27" t="s">
        <v>233</v>
      </c>
      <c r="B256" s="28">
        <v>40</v>
      </c>
      <c r="C256" s="38" t="str">
        <f t="shared" ref="C256:C257" si="19">HYPERLINK("https://en.wikipedia.org/wiki/Everything_All_the_Time","Everything All the Time")</f>
        <v>Everything All the Time</v>
      </c>
      <c r="D256" s="27">
        <v>2006</v>
      </c>
    </row>
    <row r="257" spans="1:4" ht="12.75">
      <c r="A257" s="7" t="s">
        <v>234</v>
      </c>
      <c r="B257" s="8">
        <v>33</v>
      </c>
      <c r="C257" s="9" t="str">
        <f t="shared" si="19"/>
        <v>Everything All the Time</v>
      </c>
      <c r="D257" s="7">
        <v>2006</v>
      </c>
    </row>
    <row r="258" spans="1:4" ht="12.75">
      <c r="A258" s="27" t="s">
        <v>235</v>
      </c>
      <c r="B258" s="28">
        <v>32</v>
      </c>
      <c r="C258" s="38" t="str">
        <f>HYPERLINK("https://en.wikipedia.org/wiki/Cease_to_Begin","Cease to Begin")</f>
        <v>Cease to Begin</v>
      </c>
      <c r="D258" s="27">
        <v>2007</v>
      </c>
    </row>
    <row r="259" spans="1:4" ht="12.75">
      <c r="A259" s="7" t="s">
        <v>236</v>
      </c>
      <c r="B259" s="8">
        <v>25</v>
      </c>
      <c r="C259" s="9" t="str">
        <f>HYPERLINK("https://en.wikipedia.org/wiki/Everything_All_the_Time","Everything All the Time")</f>
        <v>Everything All the Time</v>
      </c>
      <c r="D259" s="7">
        <v>2006</v>
      </c>
    </row>
    <row r="260" spans="1:4" ht="12.75">
      <c r="A260" s="27" t="s">
        <v>237</v>
      </c>
      <c r="B260" s="28">
        <v>21</v>
      </c>
      <c r="C260" s="29" t="str">
        <f>HYPERLINK("https://en.wikipedia.org/wiki/Cease_to_Begin","Cease to Begin")</f>
        <v>Cease to Begin</v>
      </c>
      <c r="D260" s="27">
        <v>2007</v>
      </c>
    </row>
    <row r="261" spans="1:4" ht="12.75">
      <c r="A261" s="152"/>
      <c r="B261" s="153"/>
      <c r="C261" s="153"/>
      <c r="D261" s="154"/>
    </row>
    <row r="262" spans="1:4" ht="18">
      <c r="A262" s="22" t="s">
        <v>238</v>
      </c>
      <c r="B262" s="43">
        <v>44523</v>
      </c>
      <c r="C262" s="24"/>
      <c r="D262" s="32" t="s">
        <v>1</v>
      </c>
    </row>
    <row r="263" spans="1:4" ht="12.75">
      <c r="A263" s="26" t="s">
        <v>2</v>
      </c>
      <c r="B263" s="26" t="s">
        <v>3</v>
      </c>
      <c r="C263" s="26" t="s">
        <v>4</v>
      </c>
      <c r="D263" s="26" t="s">
        <v>5</v>
      </c>
    </row>
    <row r="264" spans="1:4" ht="12.75">
      <c r="A264" s="7" t="s">
        <v>239</v>
      </c>
      <c r="B264" s="8">
        <v>156</v>
      </c>
      <c r="C264" s="9" t="s">
        <v>240</v>
      </c>
      <c r="D264" s="7">
        <v>2009</v>
      </c>
    </row>
    <row r="265" spans="1:4" ht="12.75">
      <c r="A265" s="27" t="s">
        <v>241</v>
      </c>
      <c r="B265" s="28">
        <v>133</v>
      </c>
      <c r="C265" s="29" t="s">
        <v>242</v>
      </c>
      <c r="D265" s="27">
        <v>2012</v>
      </c>
    </row>
    <row r="266" spans="1:4" ht="12.75">
      <c r="A266" s="7" t="s">
        <v>243</v>
      </c>
      <c r="B266" s="8">
        <v>123</v>
      </c>
      <c r="C266" s="9" t="s">
        <v>242</v>
      </c>
      <c r="D266" s="7">
        <v>2012</v>
      </c>
    </row>
    <row r="267" spans="1:4" ht="12.75">
      <c r="A267" s="27" t="s">
        <v>244</v>
      </c>
      <c r="B267" s="28">
        <v>105</v>
      </c>
      <c r="C267" s="29" t="s">
        <v>240</v>
      </c>
      <c r="D267" s="27">
        <v>2009</v>
      </c>
    </row>
    <row r="268" spans="1:4" ht="12.75">
      <c r="A268" s="7" t="s">
        <v>245</v>
      </c>
      <c r="B268" s="8">
        <v>100</v>
      </c>
      <c r="C268" s="9" t="s">
        <v>246</v>
      </c>
      <c r="D268" s="7">
        <v>2006</v>
      </c>
    </row>
    <row r="269" spans="1:4" ht="12.75">
      <c r="A269" s="10" t="s">
        <v>247</v>
      </c>
      <c r="B269" s="28">
        <v>70</v>
      </c>
      <c r="C269" s="29" t="s">
        <v>248</v>
      </c>
      <c r="D269" s="27">
        <v>2019</v>
      </c>
    </row>
    <row r="270" spans="1:4" ht="12.75">
      <c r="A270" s="7" t="s">
        <v>249</v>
      </c>
      <c r="B270" s="8">
        <v>54</v>
      </c>
      <c r="C270" s="9" t="s">
        <v>250</v>
      </c>
      <c r="D270" s="7">
        <v>2015</v>
      </c>
    </row>
    <row r="271" spans="1:4" ht="12.75">
      <c r="A271" s="10" t="s">
        <v>251</v>
      </c>
      <c r="B271" s="28">
        <v>51</v>
      </c>
      <c r="C271" s="29" t="s">
        <v>240</v>
      </c>
      <c r="D271" s="27">
        <v>2009</v>
      </c>
    </row>
    <row r="272" spans="1:4" ht="12.75">
      <c r="A272" s="7" t="s">
        <v>252</v>
      </c>
      <c r="B272" s="8">
        <v>48</v>
      </c>
      <c r="C272" s="9" t="s">
        <v>240</v>
      </c>
      <c r="D272" s="7">
        <v>2009</v>
      </c>
    </row>
    <row r="273" spans="1:4" ht="12.75">
      <c r="A273" s="27" t="s">
        <v>253</v>
      </c>
      <c r="B273" s="28">
        <v>47</v>
      </c>
      <c r="C273" s="29" t="s">
        <v>248</v>
      </c>
      <c r="D273" s="27">
        <v>2019</v>
      </c>
    </row>
    <row r="274" spans="1:4" ht="12.75">
      <c r="A274" s="152"/>
      <c r="B274" s="153"/>
      <c r="C274" s="153"/>
      <c r="D274" s="154"/>
    </row>
    <row r="275" spans="1:4" ht="18">
      <c r="A275" s="22" t="str">
        <f>HYPERLINK("https://www.reddit.com/r/indieheads/comments/4jqn2r/top_ten_tuesday_the_beach_boys/","The Beach Boys")</f>
        <v>The Beach Boys</v>
      </c>
      <c r="B275" s="23">
        <v>42507</v>
      </c>
      <c r="C275" s="24"/>
      <c r="D275" s="25" t="s">
        <v>1</v>
      </c>
    </row>
    <row r="276" spans="1:4" ht="12.75">
      <c r="A276" s="26" t="s">
        <v>2</v>
      </c>
      <c r="B276" s="26" t="s">
        <v>3</v>
      </c>
      <c r="C276" s="26" t="s">
        <v>4</v>
      </c>
      <c r="D276" s="26" t="s">
        <v>5</v>
      </c>
    </row>
    <row r="277" spans="1:4" ht="12.75">
      <c r="A277" s="7" t="s">
        <v>254</v>
      </c>
      <c r="B277" s="8">
        <v>553</v>
      </c>
      <c r="C277" s="9" t="str">
        <f>HYPERLINK("https://en.wikipedia.org/wiki/Pet_Sounds","Pet Sounds")</f>
        <v>Pet Sounds</v>
      </c>
      <c r="D277" s="7">
        <v>1966</v>
      </c>
    </row>
    <row r="278" spans="1:4" ht="12.75">
      <c r="A278" s="27" t="s">
        <v>255</v>
      </c>
      <c r="B278" s="28">
        <v>405</v>
      </c>
      <c r="C278" s="38" t="str">
        <f>HYPERLINK("https://en.wikipedia.org/wiki/Surf%27s_Up_(album)","Surf's Up")</f>
        <v>Surf's Up</v>
      </c>
      <c r="D278" s="27">
        <v>1971</v>
      </c>
    </row>
    <row r="279" spans="1:4" ht="12.75">
      <c r="A279" s="7" t="s">
        <v>256</v>
      </c>
      <c r="B279" s="8">
        <v>400</v>
      </c>
      <c r="C279" s="9" t="str">
        <f>HYPERLINK("https://en.wikipedia.org/wiki/Pet_Sounds","Pet Sounds")</f>
        <v>Pet Sounds</v>
      </c>
      <c r="D279" s="7">
        <v>1966</v>
      </c>
    </row>
    <row r="280" spans="1:4" ht="12.75">
      <c r="A280" s="27" t="s">
        <v>257</v>
      </c>
      <c r="B280" s="28">
        <v>373</v>
      </c>
      <c r="C280" s="38" t="str">
        <f t="shared" ref="C280:C281" si="20">HYPERLINK("https://en.wikipedia.org/wiki/Smiley_Smile","Smiley Smile")</f>
        <v>Smiley Smile</v>
      </c>
      <c r="D280" s="27">
        <v>1966</v>
      </c>
    </row>
    <row r="281" spans="1:4" ht="12.75">
      <c r="A281" s="7" t="s">
        <v>258</v>
      </c>
      <c r="B281" s="8">
        <v>241</v>
      </c>
      <c r="C281" s="9" t="str">
        <f t="shared" si="20"/>
        <v>Smiley Smile</v>
      </c>
      <c r="D281" s="7">
        <v>1967</v>
      </c>
    </row>
    <row r="282" spans="1:4" ht="12.75">
      <c r="A282" s="27" t="s">
        <v>259</v>
      </c>
      <c r="B282" s="28">
        <v>182</v>
      </c>
      <c r="C282" s="38" t="str">
        <f>HYPERLINK("https://en.wikipedia.org/wiki/Shut_Down_Volume_2","Shut Down Volume 2")</f>
        <v>Shut Down Volume 2</v>
      </c>
      <c r="D282" s="27">
        <v>1964</v>
      </c>
    </row>
    <row r="283" spans="1:4" ht="12.75">
      <c r="A283" s="7" t="s">
        <v>260</v>
      </c>
      <c r="B283" s="8">
        <v>180</v>
      </c>
      <c r="C283" s="9" t="str">
        <f t="shared" ref="C283:C285" si="21">HYPERLINK("https://en.wikipedia.org/wiki/Pet_Sounds","Pet Sounds")</f>
        <v>Pet Sounds</v>
      </c>
      <c r="D283" s="7">
        <v>1966</v>
      </c>
    </row>
    <row r="284" spans="1:4" ht="12.75">
      <c r="A284" s="27" t="s">
        <v>261</v>
      </c>
      <c r="B284" s="28">
        <v>140</v>
      </c>
      <c r="C284" s="38" t="str">
        <f t="shared" si="21"/>
        <v>Pet Sounds</v>
      </c>
      <c r="D284" s="27">
        <v>1966</v>
      </c>
    </row>
    <row r="285" spans="1:4" ht="12.75">
      <c r="A285" s="7" t="s">
        <v>262</v>
      </c>
      <c r="B285" s="8">
        <v>131</v>
      </c>
      <c r="C285" s="9" t="str">
        <f t="shared" si="21"/>
        <v>Pet Sounds</v>
      </c>
      <c r="D285" s="7">
        <v>1966</v>
      </c>
    </row>
    <row r="286" spans="1:4" ht="12.75">
      <c r="A286" s="27" t="s">
        <v>263</v>
      </c>
      <c r="B286" s="28">
        <v>112</v>
      </c>
      <c r="C286" s="38" t="str">
        <f>HYPERLINK("https://en.wikipedia.org/wiki/Summer_Days_(And_Summer_Nights!!)","Summer Days (And Summer Nights!!)")</f>
        <v>Summer Days (And Summer Nights!!)</v>
      </c>
      <c r="D286" s="27">
        <v>1965</v>
      </c>
    </row>
    <row r="287" spans="1:4" ht="12.75">
      <c r="A287" s="152"/>
      <c r="B287" s="153"/>
      <c r="C287" s="153"/>
      <c r="D287" s="154"/>
    </row>
    <row r="288" spans="1:4" ht="18">
      <c r="A288" s="22" t="str">
        <f>HYPERLINK("https://www.reddit.com/r/indieheads/comments/ertkwg/top_ten_tuesday_beach_fossils/","Beach Fossils")</f>
        <v>Beach Fossils</v>
      </c>
      <c r="B288" s="30">
        <v>43858</v>
      </c>
      <c r="C288" s="24"/>
      <c r="D288" s="32" t="s">
        <v>1</v>
      </c>
    </row>
    <row r="289" spans="1:4" ht="12.75">
      <c r="A289" s="33" t="s">
        <v>2</v>
      </c>
      <c r="B289" s="34" t="s">
        <v>3</v>
      </c>
      <c r="C289" s="33" t="s">
        <v>4</v>
      </c>
      <c r="D289" s="26" t="s">
        <v>5</v>
      </c>
    </row>
    <row r="290" spans="1:4" ht="12.75">
      <c r="A290" s="19" t="s">
        <v>264</v>
      </c>
      <c r="B290" s="8">
        <v>78</v>
      </c>
      <c r="C290" s="9" t="str">
        <f t="shared" ref="C290:C291" si="22">HYPERLINK("https://en.wikipedia.org/wiki/Clash_the_Truth","Clash the Truth")</f>
        <v>Clash the Truth</v>
      </c>
      <c r="D290" s="7">
        <v>2013</v>
      </c>
    </row>
    <row r="291" spans="1:4" ht="12.75">
      <c r="A291" s="35" t="s">
        <v>265</v>
      </c>
      <c r="B291" s="28">
        <v>77</v>
      </c>
      <c r="C291" s="29" t="str">
        <f t="shared" si="22"/>
        <v>Clash the Truth</v>
      </c>
      <c r="D291" s="27">
        <v>2013</v>
      </c>
    </row>
    <row r="292" spans="1:4" ht="12.75">
      <c r="A292" s="19" t="s">
        <v>266</v>
      </c>
      <c r="B292" s="8">
        <v>75</v>
      </c>
      <c r="C292" s="9" t="str">
        <f>HYPERLINK("https://en.wikipedia.org/wiki/What_a_Pleasure_(EP)","What a Pleasure EP")</f>
        <v>What a Pleasure EP</v>
      </c>
      <c r="D292" s="7">
        <v>2011</v>
      </c>
    </row>
    <row r="293" spans="1:4" ht="12.75">
      <c r="A293" s="35" t="s">
        <v>267</v>
      </c>
      <c r="B293" s="28">
        <v>69</v>
      </c>
      <c r="C293" s="29" t="str">
        <f>HYPERLINK("https://en.wikipedia.org/wiki/Beach_Fossils_(album)","Beach Fossils")</f>
        <v>Beach Fossils</v>
      </c>
      <c r="D293" s="27">
        <v>2010</v>
      </c>
    </row>
    <row r="294" spans="1:4" ht="12.75">
      <c r="A294" s="19" t="s">
        <v>268</v>
      </c>
      <c r="B294" s="8">
        <v>66</v>
      </c>
      <c r="C294" s="9" t="str">
        <f>HYPERLINK("https://en.wikipedia.org/wiki/Somersault_(Beach_Fossils_album)","Somersault")</f>
        <v>Somersault</v>
      </c>
      <c r="D294" s="7">
        <v>2017</v>
      </c>
    </row>
    <row r="295" spans="1:4" ht="12.75">
      <c r="A295" s="35" t="s">
        <v>269</v>
      </c>
      <c r="B295" s="28">
        <v>64</v>
      </c>
      <c r="C295" s="29" t="str">
        <f>HYPERLINK("https://en.wikipedia.org/wiki/Clash_the_Truth","Clash the Truth")</f>
        <v>Clash the Truth</v>
      </c>
      <c r="D295" s="27">
        <v>2013</v>
      </c>
    </row>
    <row r="296" spans="1:4" ht="12.75">
      <c r="A296" s="19" t="s">
        <v>270</v>
      </c>
      <c r="B296" s="8">
        <v>63</v>
      </c>
      <c r="C296" s="9" t="str">
        <f>HYPERLINK("https://en.wikipedia.org/wiki/Somersault_(Beach_Fossils_album)","Somersault")</f>
        <v>Somersault</v>
      </c>
      <c r="D296" s="7">
        <v>2017</v>
      </c>
    </row>
    <row r="297" spans="1:4" ht="12.75">
      <c r="A297" s="35" t="s">
        <v>271</v>
      </c>
      <c r="B297" s="28">
        <v>55</v>
      </c>
      <c r="C297" s="29" t="str">
        <f>HYPERLINK("https://en.wikipedia.org/wiki/Clash_the_Truth","Clash the Truth")</f>
        <v>Clash the Truth</v>
      </c>
      <c r="D297" s="27">
        <v>2013</v>
      </c>
    </row>
    <row r="298" spans="1:4" ht="12.75">
      <c r="A298" s="19" t="s">
        <v>272</v>
      </c>
      <c r="B298" s="8">
        <v>46</v>
      </c>
      <c r="C298" s="9" t="str">
        <f>HYPERLINK("https://en.wikipedia.org/wiki/Beach_Fossils_(album)","Beach Fossils")</f>
        <v>Beach Fossils</v>
      </c>
      <c r="D298" s="7">
        <v>2010</v>
      </c>
    </row>
    <row r="299" spans="1:4" ht="12.75">
      <c r="A299" s="35" t="s">
        <v>273</v>
      </c>
      <c r="B299" s="28">
        <v>45</v>
      </c>
      <c r="C299" s="29" t="str">
        <f>HYPERLINK("https://en.wikipedia.org/wiki/Clash_the_Truth","Clash the Truth")</f>
        <v>Clash the Truth</v>
      </c>
      <c r="D299" s="27">
        <v>2013</v>
      </c>
    </row>
    <row r="300" spans="1:4" ht="12.75">
      <c r="A300" s="152"/>
      <c r="B300" s="153"/>
      <c r="C300" s="153"/>
      <c r="D300" s="154"/>
    </row>
    <row r="301" spans="1:4" ht="18">
      <c r="A301" s="41" t="s">
        <v>274</v>
      </c>
      <c r="B301" s="23">
        <v>44868</v>
      </c>
      <c r="C301" s="24"/>
      <c r="D301" s="32"/>
    </row>
    <row r="302" spans="1:4" ht="12.75">
      <c r="A302" s="26" t="s">
        <v>2</v>
      </c>
      <c r="B302" s="26" t="s">
        <v>3</v>
      </c>
      <c r="C302" s="26" t="s">
        <v>4</v>
      </c>
      <c r="D302" s="26" t="s">
        <v>5</v>
      </c>
    </row>
    <row r="303" spans="1:4" ht="12.75">
      <c r="A303" s="19" t="s">
        <v>275</v>
      </c>
      <c r="B303" s="8">
        <v>494</v>
      </c>
      <c r="C303" s="19" t="s">
        <v>276</v>
      </c>
      <c r="D303" s="7">
        <v>2012</v>
      </c>
    </row>
    <row r="304" spans="1:4" ht="12.75">
      <c r="A304" s="35" t="s">
        <v>277</v>
      </c>
      <c r="B304" s="28">
        <v>362</v>
      </c>
      <c r="C304" s="35" t="s">
        <v>278</v>
      </c>
      <c r="D304" s="27">
        <v>2014</v>
      </c>
    </row>
    <row r="305" spans="1:4" ht="12.75">
      <c r="A305" s="19" t="s">
        <v>279</v>
      </c>
      <c r="B305" s="8">
        <v>309</v>
      </c>
      <c r="C305" s="19" t="s">
        <v>278</v>
      </c>
      <c r="D305" s="7">
        <v>2014</v>
      </c>
    </row>
    <row r="306" spans="1:4" ht="12.75">
      <c r="A306" s="35" t="s">
        <v>280</v>
      </c>
      <c r="B306" s="28">
        <v>293</v>
      </c>
      <c r="C306" s="35" t="s">
        <v>276</v>
      </c>
      <c r="D306" s="27">
        <v>2012</v>
      </c>
    </row>
    <row r="307" spans="1:4" ht="12.75">
      <c r="A307" s="19" t="s">
        <v>281</v>
      </c>
      <c r="B307" s="8">
        <v>281</v>
      </c>
      <c r="C307" s="19" t="s">
        <v>278</v>
      </c>
      <c r="D307" s="7">
        <v>2014</v>
      </c>
    </row>
    <row r="308" spans="1:4" ht="12.75">
      <c r="A308" s="20" t="s">
        <v>282</v>
      </c>
      <c r="B308" s="11">
        <v>259</v>
      </c>
      <c r="C308" s="20" t="s">
        <v>283</v>
      </c>
      <c r="D308" s="10">
        <v>2010</v>
      </c>
    </row>
    <row r="309" spans="1:4" ht="12.75">
      <c r="A309" s="19" t="s">
        <v>284</v>
      </c>
      <c r="B309" s="8">
        <v>228</v>
      </c>
      <c r="C309" s="19" t="s">
        <v>283</v>
      </c>
      <c r="D309" s="7">
        <v>2010</v>
      </c>
    </row>
    <row r="310" spans="1:4" ht="12.75">
      <c r="A310" s="20" t="s">
        <v>285</v>
      </c>
      <c r="B310" s="11">
        <v>207</v>
      </c>
      <c r="C310" s="20" t="s">
        <v>278</v>
      </c>
      <c r="D310" s="10">
        <v>2014</v>
      </c>
    </row>
    <row r="311" spans="1:4" ht="12.75">
      <c r="A311" s="19" t="s">
        <v>286</v>
      </c>
      <c r="B311" s="8">
        <v>207</v>
      </c>
      <c r="C311" s="19" t="s">
        <v>283</v>
      </c>
      <c r="D311" s="7">
        <v>2010</v>
      </c>
    </row>
    <row r="312" spans="1:4" ht="12.75">
      <c r="A312" s="20" t="s">
        <v>287</v>
      </c>
      <c r="B312" s="11">
        <v>197</v>
      </c>
      <c r="C312" s="20" t="s">
        <v>288</v>
      </c>
      <c r="D312" s="10">
        <v>2022</v>
      </c>
    </row>
    <row r="313" spans="1:4" ht="12.75">
      <c r="A313" s="152"/>
      <c r="B313" s="153"/>
      <c r="C313" s="153"/>
      <c r="D313" s="154"/>
    </row>
    <row r="314" spans="1:4" ht="18">
      <c r="A314" s="2" t="str">
        <f>HYPERLINK("https://www.reddit.com/r/indieheads/comments/9isqar/top_ten_tuesday_beat_happening/","Beat Happening")</f>
        <v>Beat Happening</v>
      </c>
      <c r="B314" s="3">
        <v>43368</v>
      </c>
      <c r="C314" s="44"/>
      <c r="D314" s="5" t="s">
        <v>1</v>
      </c>
    </row>
    <row r="315" spans="1:4" ht="12.75">
      <c r="A315" s="45" t="s">
        <v>2</v>
      </c>
      <c r="B315" s="6" t="s">
        <v>3</v>
      </c>
      <c r="C315" s="45" t="s">
        <v>4</v>
      </c>
      <c r="D315" s="6" t="s">
        <v>5</v>
      </c>
    </row>
    <row r="316" spans="1:4" ht="12.75">
      <c r="A316" s="19" t="s">
        <v>289</v>
      </c>
      <c r="B316" s="8">
        <v>98</v>
      </c>
      <c r="C316" s="9" t="str">
        <f>HYPERLINK("https://en.wikipedia.org/wiki/You_Turn_Me_On","You Turn Me On")</f>
        <v>You Turn Me On</v>
      </c>
      <c r="D316" s="7">
        <v>1992</v>
      </c>
    </row>
    <row r="317" spans="1:4" ht="12.75">
      <c r="A317" s="20" t="s">
        <v>290</v>
      </c>
      <c r="B317" s="11">
        <v>75</v>
      </c>
      <c r="C317" s="12" t="str">
        <f>HYPERLINK("https://en.wikipedia.org/wiki/Jamboree_(Beat_Happening_album)","Jamboree")</f>
        <v>Jamboree</v>
      </c>
      <c r="D317" s="10">
        <v>1988</v>
      </c>
    </row>
    <row r="318" spans="1:4" ht="12.75">
      <c r="A318" s="19" t="s">
        <v>291</v>
      </c>
      <c r="B318" s="8">
        <v>72</v>
      </c>
      <c r="C318" s="9" t="str">
        <f t="shared" ref="C318:C319" si="23">HYPERLINK("https://en.wikipedia.org/wiki/You_Turn_Me_On","You Turn Me On")</f>
        <v>You Turn Me On</v>
      </c>
      <c r="D318" s="7">
        <v>1992</v>
      </c>
    </row>
    <row r="319" spans="1:4" ht="12.75">
      <c r="A319" s="20" t="s">
        <v>292</v>
      </c>
      <c r="B319" s="11">
        <v>57</v>
      </c>
      <c r="C319" s="12" t="str">
        <f t="shared" si="23"/>
        <v>You Turn Me On</v>
      </c>
      <c r="D319" s="10">
        <v>1992</v>
      </c>
    </row>
    <row r="320" spans="1:4" ht="12.75">
      <c r="A320" s="19" t="s">
        <v>293</v>
      </c>
      <c r="B320" s="8">
        <v>40</v>
      </c>
      <c r="C320" s="9" t="str">
        <f>HYPERLINK("https://en.wikipedia.org/wiki/Jamboree_(Beat_Happening_album)","Jamboree")</f>
        <v>Jamboree</v>
      </c>
      <c r="D320" s="7">
        <v>1988</v>
      </c>
    </row>
    <row r="321" spans="1:4" ht="12.75">
      <c r="A321" s="20" t="s">
        <v>294</v>
      </c>
      <c r="B321" s="11">
        <v>37</v>
      </c>
      <c r="C321" s="12" t="str">
        <f>HYPERLINK("https://en.wikipedia.org/wiki/Beat_Happening_(album)","Beat Happening")</f>
        <v>Beat Happening</v>
      </c>
      <c r="D321" s="10">
        <v>1985</v>
      </c>
    </row>
    <row r="322" spans="1:4" ht="12.75">
      <c r="A322" s="19" t="s">
        <v>295</v>
      </c>
      <c r="B322" s="8">
        <v>37</v>
      </c>
      <c r="C322" s="9" t="str">
        <f>HYPERLINK("https://en.wikipedia.org/wiki/Black_Candy","Black Candy")</f>
        <v>Black Candy</v>
      </c>
      <c r="D322" s="7">
        <v>1989</v>
      </c>
    </row>
    <row r="323" spans="1:4" ht="12.75">
      <c r="A323" s="20" t="s">
        <v>296</v>
      </c>
      <c r="B323" s="11">
        <v>27</v>
      </c>
      <c r="C323" s="12" t="str">
        <f t="shared" ref="C323:C324" si="24">HYPERLINK("https://en.wikipedia.org/wiki/You_Turn_Me_On","You Turn Me On")</f>
        <v>You Turn Me On</v>
      </c>
      <c r="D323" s="10">
        <v>1992</v>
      </c>
    </row>
    <row r="324" spans="1:4" ht="12.75">
      <c r="A324" s="19" t="s">
        <v>297</v>
      </c>
      <c r="B324" s="8">
        <v>25</v>
      </c>
      <c r="C324" s="9" t="str">
        <f t="shared" si="24"/>
        <v>You Turn Me On</v>
      </c>
      <c r="D324" s="7">
        <v>1992</v>
      </c>
    </row>
    <row r="325" spans="1:4" ht="12.75">
      <c r="A325" s="20" t="s">
        <v>298</v>
      </c>
      <c r="B325" s="11">
        <v>23</v>
      </c>
      <c r="C325" s="12" t="str">
        <f>HYPERLINK("https://en.wikipedia.org/wiki/Beat_Happening_(album)","Beat Happening")</f>
        <v>Beat Happening</v>
      </c>
      <c r="D325" s="10">
        <v>1985</v>
      </c>
    </row>
    <row r="326" spans="1:4" ht="12.75">
      <c r="A326" s="152"/>
      <c r="B326" s="153"/>
      <c r="C326" s="153"/>
      <c r="D326" s="154"/>
    </row>
    <row r="327" spans="1:4" ht="18">
      <c r="A327" s="41" t="s">
        <v>299</v>
      </c>
      <c r="B327" s="43">
        <v>44861</v>
      </c>
      <c r="C327" s="24"/>
      <c r="D327" s="26"/>
    </row>
    <row r="328" spans="1:4" ht="12.75">
      <c r="A328" s="26" t="s">
        <v>2</v>
      </c>
      <c r="B328" s="26" t="s">
        <v>3</v>
      </c>
      <c r="C328" s="26" t="s">
        <v>4</v>
      </c>
      <c r="D328" s="26" t="s">
        <v>5</v>
      </c>
    </row>
    <row r="329" spans="1:4" ht="12.75">
      <c r="A329" s="7" t="s">
        <v>300</v>
      </c>
      <c r="B329" s="8">
        <v>566</v>
      </c>
      <c r="C329" s="19" t="s">
        <v>301</v>
      </c>
      <c r="D329" s="7">
        <v>1967</v>
      </c>
    </row>
    <row r="330" spans="1:4" ht="12.75">
      <c r="A330" s="27" t="s">
        <v>302</v>
      </c>
      <c r="B330" s="28">
        <v>418</v>
      </c>
      <c r="C330" s="35" t="s">
        <v>303</v>
      </c>
      <c r="D330" s="27">
        <v>1967</v>
      </c>
    </row>
    <row r="331" spans="1:4" ht="12.75">
      <c r="A331" s="7" t="s">
        <v>304</v>
      </c>
      <c r="B331" s="8">
        <v>274</v>
      </c>
      <c r="C331" s="19" t="s">
        <v>305</v>
      </c>
      <c r="D331" s="7">
        <v>1965</v>
      </c>
    </row>
    <row r="332" spans="1:4" ht="12.75">
      <c r="A332" s="27" t="s">
        <v>306</v>
      </c>
      <c r="B332" s="28">
        <v>267</v>
      </c>
      <c r="C332" s="35" t="s">
        <v>307</v>
      </c>
      <c r="D332" s="27">
        <v>1969</v>
      </c>
    </row>
    <row r="333" spans="1:4" ht="12.75">
      <c r="A333" s="7" t="s">
        <v>308</v>
      </c>
      <c r="B333" s="8">
        <v>260</v>
      </c>
      <c r="C333" s="19" t="s">
        <v>309</v>
      </c>
      <c r="D333" s="7">
        <v>1966</v>
      </c>
    </row>
    <row r="334" spans="1:4" ht="12.75">
      <c r="A334" s="27" t="s">
        <v>310</v>
      </c>
      <c r="B334" s="28">
        <v>255</v>
      </c>
      <c r="C334" s="35" t="s">
        <v>311</v>
      </c>
      <c r="D334" s="27">
        <v>1968</v>
      </c>
    </row>
    <row r="335" spans="1:4" ht="12.75">
      <c r="A335" s="7" t="s">
        <v>312</v>
      </c>
      <c r="B335" s="8">
        <v>242</v>
      </c>
      <c r="C335" s="19" t="s">
        <v>309</v>
      </c>
      <c r="D335" s="7">
        <v>1966</v>
      </c>
    </row>
    <row r="336" spans="1:4" ht="12.75">
      <c r="A336" s="27" t="s">
        <v>313</v>
      </c>
      <c r="B336" s="28">
        <v>230</v>
      </c>
      <c r="C336" s="35" t="s">
        <v>307</v>
      </c>
      <c r="D336" s="27">
        <v>1969</v>
      </c>
    </row>
    <row r="337" spans="1:4" ht="12.75">
      <c r="A337" s="7" t="s">
        <v>314</v>
      </c>
      <c r="B337" s="8">
        <v>204</v>
      </c>
      <c r="C337" s="19" t="s">
        <v>307</v>
      </c>
      <c r="D337" s="7">
        <v>1969</v>
      </c>
    </row>
    <row r="338" spans="1:4" ht="12.75">
      <c r="A338" s="27" t="s">
        <v>315</v>
      </c>
      <c r="B338" s="28">
        <v>199</v>
      </c>
      <c r="C338" s="35" t="s">
        <v>307</v>
      </c>
      <c r="D338" s="27">
        <v>1969</v>
      </c>
    </row>
    <row r="339" spans="1:4" ht="12.75">
      <c r="A339" s="152"/>
      <c r="B339" s="153"/>
      <c r="C339" s="153"/>
      <c r="D339" s="154"/>
    </row>
    <row r="340" spans="1:4" ht="18">
      <c r="A340" s="22" t="str">
        <f>HYPERLINK("https://www.reddit.com/r/indieheads/comments/3wzf78/top_ten_tuesday_beck/","Beck")</f>
        <v>Beck</v>
      </c>
      <c r="B340" s="23">
        <v>42353</v>
      </c>
      <c r="C340" s="24"/>
      <c r="D340" s="25" t="s">
        <v>1</v>
      </c>
    </row>
    <row r="341" spans="1:4" ht="12.75">
      <c r="A341" s="26" t="s">
        <v>2</v>
      </c>
      <c r="B341" s="26" t="s">
        <v>3</v>
      </c>
      <c r="C341" s="26" t="s">
        <v>4</v>
      </c>
      <c r="D341" s="26" t="s">
        <v>5</v>
      </c>
    </row>
    <row r="342" spans="1:4" ht="12.75">
      <c r="A342" s="7" t="s">
        <v>316</v>
      </c>
      <c r="B342" s="8">
        <v>125</v>
      </c>
      <c r="C342" s="9" t="str">
        <f>HYPERLINK("https://en.wikipedia.org/wiki/Mellow_Gold","Mellow Gold")</f>
        <v>Mellow Gold</v>
      </c>
      <c r="D342" s="7">
        <v>1994</v>
      </c>
    </row>
    <row r="343" spans="1:4" ht="12.75">
      <c r="A343" s="27" t="s">
        <v>317</v>
      </c>
      <c r="B343" s="28">
        <v>107</v>
      </c>
      <c r="C343" s="38" t="str">
        <f>HYPERLINK("https://en.wikipedia.org/wiki/Odelay","Odelay")</f>
        <v>Odelay</v>
      </c>
      <c r="D343" s="27">
        <v>1996</v>
      </c>
    </row>
    <row r="344" spans="1:4" ht="12.75">
      <c r="A344" s="7" t="s">
        <v>318</v>
      </c>
      <c r="B344" s="8">
        <v>102</v>
      </c>
      <c r="C344" s="9" t="str">
        <f>HYPERLINK("https://en.wikipedia.org/wiki/Sea_Change_(album)","Sea Change")</f>
        <v>Sea Change</v>
      </c>
      <c r="D344" s="7">
        <v>2002</v>
      </c>
    </row>
    <row r="345" spans="1:4" ht="12.75">
      <c r="A345" s="27" t="s">
        <v>319</v>
      </c>
      <c r="B345" s="28">
        <v>98</v>
      </c>
      <c r="C345" s="38" t="str">
        <f>HYPERLINK("https://en.wikipedia.org/wiki/Odelay","Odelay")</f>
        <v>Odelay</v>
      </c>
      <c r="D345" s="27">
        <v>1996</v>
      </c>
    </row>
    <row r="346" spans="1:4" ht="12.75">
      <c r="A346" s="7" t="s">
        <v>320</v>
      </c>
      <c r="B346" s="8">
        <v>70</v>
      </c>
      <c r="C346" s="9" t="str">
        <f t="shared" ref="C346:C347" si="25">HYPERLINK("https://en.wikipedia.org/wiki/Midnite_Vultures","Midnite Vultures")</f>
        <v>Midnite Vultures</v>
      </c>
      <c r="D346" s="7">
        <v>1998</v>
      </c>
    </row>
    <row r="347" spans="1:4" ht="12.75">
      <c r="A347" s="27" t="s">
        <v>321</v>
      </c>
      <c r="B347" s="28">
        <v>70</v>
      </c>
      <c r="C347" s="38" t="str">
        <f t="shared" si="25"/>
        <v>Midnite Vultures</v>
      </c>
      <c r="D347" s="27">
        <v>1998</v>
      </c>
    </row>
    <row r="348" spans="1:4" ht="12.75">
      <c r="A348" s="7" t="s">
        <v>322</v>
      </c>
      <c r="B348" s="8">
        <v>68</v>
      </c>
      <c r="C348" s="9" t="str">
        <f>HYPERLINK("https://en.wikipedia.org/wiki/Sea_Change_(album)","Sea Change")</f>
        <v>Sea Change</v>
      </c>
      <c r="D348" s="7">
        <v>2002</v>
      </c>
    </row>
    <row r="349" spans="1:4" ht="12.75">
      <c r="A349" s="27" t="s">
        <v>323</v>
      </c>
      <c r="B349" s="28">
        <v>59</v>
      </c>
      <c r="C349" s="38" t="str">
        <f t="shared" ref="C349:C350" si="26">HYPERLINK("https://en.wikipedia.org/wiki/Guero","Guero")</f>
        <v>Guero</v>
      </c>
      <c r="D349" s="27">
        <v>2005</v>
      </c>
    </row>
    <row r="350" spans="1:4" ht="12.75">
      <c r="A350" s="7" t="s">
        <v>324</v>
      </c>
      <c r="B350" s="8">
        <v>57</v>
      </c>
      <c r="C350" s="9" t="str">
        <f t="shared" si="26"/>
        <v>Guero</v>
      </c>
      <c r="D350" s="7">
        <v>2005</v>
      </c>
    </row>
    <row r="351" spans="1:4" ht="12.75">
      <c r="A351" s="46" t="s">
        <v>325</v>
      </c>
      <c r="B351" s="28">
        <v>51</v>
      </c>
      <c r="C351" s="29" t="str">
        <f>HYPERLINK("https://en.wikipedia.org/wiki/Mutations_(Beck_album)","Mutations")</f>
        <v>Mutations</v>
      </c>
      <c r="D351" s="27">
        <v>1998</v>
      </c>
    </row>
    <row r="352" spans="1:4" ht="12.75">
      <c r="A352" s="152"/>
      <c r="B352" s="153"/>
      <c r="C352" s="153"/>
      <c r="D352" s="154"/>
    </row>
    <row r="353" spans="1:4" ht="18">
      <c r="A353" s="22" t="str">
        <f>HYPERLINK("https://www.reddit.com/r/indieheads/comments/8g7cc9/top_ten_tuesday_beirut/","Beirut")</f>
        <v>Beirut</v>
      </c>
      <c r="B353" s="30">
        <v>43221</v>
      </c>
      <c r="C353" s="24"/>
      <c r="D353" s="25" t="s">
        <v>1</v>
      </c>
    </row>
    <row r="354" spans="1:4" ht="12.75">
      <c r="A354" s="26" t="s">
        <v>2</v>
      </c>
      <c r="B354" s="26" t="s">
        <v>3</v>
      </c>
      <c r="C354" s="26" t="s">
        <v>4</v>
      </c>
      <c r="D354" s="26" t="s">
        <v>5</v>
      </c>
    </row>
    <row r="355" spans="1:4" ht="12.75">
      <c r="A355" s="7" t="s">
        <v>326</v>
      </c>
      <c r="B355" s="8">
        <v>141</v>
      </c>
      <c r="C355" s="9" t="str">
        <f>HYPERLINK("https://en.wikipedia.org/wiki/Gulag_Orkestar","Gulag Orkestar")</f>
        <v>Gulag Orkestar</v>
      </c>
      <c r="D355" s="7">
        <v>2006</v>
      </c>
    </row>
    <row r="356" spans="1:4" ht="12.75">
      <c r="A356" s="27" t="s">
        <v>327</v>
      </c>
      <c r="B356" s="28">
        <v>134</v>
      </c>
      <c r="C356" s="38" t="str">
        <f>HYPERLINK("https://en.wikipedia.org/wiki/The_Flying_Club_Cup","The Flying Club Cup")</f>
        <v>The Flying Club Cup</v>
      </c>
      <c r="D356" s="27">
        <v>2007</v>
      </c>
    </row>
    <row r="357" spans="1:4" ht="12.75">
      <c r="A357" s="7" t="s">
        <v>328</v>
      </c>
      <c r="B357" s="8">
        <v>116</v>
      </c>
      <c r="C357" s="9" t="str">
        <f>HYPERLINK("https://en.wikipedia.org/wiki/Lon_Gisland","Lon Gisland")</f>
        <v>Lon Gisland</v>
      </c>
      <c r="D357" s="7">
        <v>2007</v>
      </c>
    </row>
    <row r="358" spans="1:4" ht="12.75">
      <c r="A358" s="27" t="s">
        <v>329</v>
      </c>
      <c r="B358" s="28">
        <v>68</v>
      </c>
      <c r="C358" s="38" t="str">
        <f>HYPERLINK("https://en.wikipedia.org/wiki/The_Rip_Tide","The Rip Tide")</f>
        <v>The Rip Tide</v>
      </c>
      <c r="D358" s="27">
        <v>2011</v>
      </c>
    </row>
    <row r="359" spans="1:4" ht="12.75">
      <c r="A359" s="7" t="s">
        <v>330</v>
      </c>
      <c r="B359" s="8">
        <v>62</v>
      </c>
      <c r="C359" s="9" t="str">
        <f>HYPERLINK("https://en.wikipedia.org/wiki/The_Flying_Club_Cup","The Flying Club Cup")</f>
        <v>The Flying Club Cup</v>
      </c>
      <c r="D359" s="7">
        <v>2007</v>
      </c>
    </row>
    <row r="360" spans="1:4" ht="12.75">
      <c r="A360" s="27" t="s">
        <v>331</v>
      </c>
      <c r="B360" s="28">
        <v>57</v>
      </c>
      <c r="C360" s="38" t="str">
        <f>HYPERLINK("https://en.wikipedia.org/wiki/The_Rip_Tide","The Rip Tide")</f>
        <v>The Rip Tide</v>
      </c>
      <c r="D360" s="27">
        <v>2011</v>
      </c>
    </row>
    <row r="361" spans="1:4" ht="12.75">
      <c r="A361" s="7" t="s">
        <v>332</v>
      </c>
      <c r="B361" s="8">
        <v>52</v>
      </c>
      <c r="C361" s="9" t="str">
        <f>HYPERLINK("https://en.wikipedia.org/wiki/Gulag_Orkestar","Gulag Orkestar")</f>
        <v>Gulag Orkestar</v>
      </c>
      <c r="D361" s="7">
        <v>2006</v>
      </c>
    </row>
    <row r="362" spans="1:4" ht="12.75">
      <c r="A362" s="27" t="s">
        <v>333</v>
      </c>
      <c r="B362" s="28">
        <v>52</v>
      </c>
      <c r="C362" s="38" t="str">
        <f>HYPERLINK("https://en.wikipedia.org/wiki/The_Rip_Tide","The Rip Tide")</f>
        <v>The Rip Tide</v>
      </c>
      <c r="D362" s="27">
        <v>2011</v>
      </c>
    </row>
    <row r="363" spans="1:4" ht="12.75">
      <c r="A363" s="7" t="s">
        <v>334</v>
      </c>
      <c r="B363" s="8">
        <v>51</v>
      </c>
      <c r="C363" s="9" t="str">
        <f>HYPERLINK("https://en.wikipedia.org/wiki/The_Flying_Club_Cup","The Flying Club Cup")</f>
        <v>The Flying Club Cup</v>
      </c>
      <c r="D363" s="7">
        <v>2007</v>
      </c>
    </row>
    <row r="364" spans="1:4" ht="12.75">
      <c r="A364" s="27" t="s">
        <v>335</v>
      </c>
      <c r="B364" s="28">
        <v>46</v>
      </c>
      <c r="C364" s="29" t="str">
        <f>HYPERLINK("https://en.wikipedia.org/wiki/No_No_No_(Beirut_album)","No No No")</f>
        <v>No No No</v>
      </c>
      <c r="D364" s="27">
        <v>2015</v>
      </c>
    </row>
    <row r="365" spans="1:4" ht="12.75">
      <c r="A365" s="152"/>
      <c r="B365" s="153"/>
      <c r="C365" s="153"/>
      <c r="D365" s="154"/>
    </row>
    <row r="366" spans="1:4" ht="18">
      <c r="A366" s="128" t="s">
        <v>3932</v>
      </c>
      <c r="B366" s="23">
        <v>42534</v>
      </c>
      <c r="C366" s="24"/>
      <c r="D366" s="25" t="s">
        <v>1</v>
      </c>
    </row>
    <row r="367" spans="1:4" ht="12.75">
      <c r="A367" s="26" t="s">
        <v>2</v>
      </c>
      <c r="B367" s="26" t="s">
        <v>3</v>
      </c>
      <c r="C367" s="26" t="s">
        <v>4</v>
      </c>
      <c r="D367" s="26" t="s">
        <v>5</v>
      </c>
    </row>
    <row r="368" spans="1:4" ht="12.75">
      <c r="A368" s="7" t="s">
        <v>336</v>
      </c>
      <c r="B368" s="8">
        <v>274</v>
      </c>
      <c r="C368" s="9" t="str">
        <f>HYPERLINK("http://en.wikipedia.org/wiki/Tigermilk","Tigermilk")</f>
        <v>Tigermilk</v>
      </c>
      <c r="D368" s="7">
        <v>1996</v>
      </c>
    </row>
    <row r="369" spans="1:4" ht="12.75">
      <c r="A369" s="27" t="s">
        <v>337</v>
      </c>
      <c r="B369" s="11">
        <v>254</v>
      </c>
      <c r="C369" s="12" t="str">
        <f>HYPERLINK("http://en.wikipedia.org/wiki/If_You%27re_Feeling_Sinister","If You're Feeling Sinister")</f>
        <v>If You're Feeling Sinister</v>
      </c>
      <c r="D369" s="10">
        <v>1996</v>
      </c>
    </row>
    <row r="370" spans="1:4" ht="12.75">
      <c r="A370" s="7" t="s">
        <v>338</v>
      </c>
      <c r="B370" s="8">
        <v>175</v>
      </c>
      <c r="C370" s="9" t="str">
        <f>HYPERLINK("http://en.wikipedia.org/wiki/The_Boy_with_the_Arab_Strap","The Boy with the Arab Strap")</f>
        <v>The Boy with the Arab Strap</v>
      </c>
      <c r="D370" s="7">
        <v>1998</v>
      </c>
    </row>
    <row r="371" spans="1:4" ht="12.75">
      <c r="A371" s="27" t="s">
        <v>339</v>
      </c>
      <c r="B371" s="11">
        <v>136</v>
      </c>
      <c r="C371" s="12" t="str">
        <f t="shared" ref="C371:C372" si="27">HYPERLINK("http://en.wikipedia.org/wiki/If_You%27re_Feeling_Sinister","If You're Feeling Sinister")</f>
        <v>If You're Feeling Sinister</v>
      </c>
      <c r="D371" s="10">
        <v>1996</v>
      </c>
    </row>
    <row r="372" spans="1:4" ht="12.75">
      <c r="A372" s="7" t="s">
        <v>340</v>
      </c>
      <c r="B372" s="8">
        <v>112</v>
      </c>
      <c r="C372" s="9" t="str">
        <f t="shared" si="27"/>
        <v>If You're Feeling Sinister</v>
      </c>
      <c r="D372" s="7">
        <v>1996</v>
      </c>
    </row>
    <row r="373" spans="1:4" ht="12.75">
      <c r="A373" s="27" t="s">
        <v>3933</v>
      </c>
      <c r="B373" s="11">
        <v>109</v>
      </c>
      <c r="C373" s="12" t="str">
        <f>HYPERLINK("https://en.wikipedia.org/wiki/Dear_Catastrophe_Waitress","Dear Catastrophe Waitress")</f>
        <v>Dear Catastrophe Waitress</v>
      </c>
      <c r="D373" s="10">
        <v>2003</v>
      </c>
    </row>
    <row r="374" spans="1:4" ht="12.75">
      <c r="A374" s="7" t="s">
        <v>341</v>
      </c>
      <c r="B374" s="8">
        <v>105</v>
      </c>
      <c r="C374" s="9" t="str">
        <f>HYPERLINK("http://en.wikipedia.org/wiki/If_You%27re_Feeling_Sinister","If You're Feeling Sinister")</f>
        <v>If You're Feeling Sinister</v>
      </c>
      <c r="D374" s="7">
        <v>1996</v>
      </c>
    </row>
    <row r="375" spans="1:4" ht="12.75">
      <c r="A375" s="27" t="s">
        <v>342</v>
      </c>
      <c r="B375" s="28">
        <v>97</v>
      </c>
      <c r="C375" s="38" t="str">
        <f>HYPERLINK("https://en.wikipedia.org/wiki/Lazy_Line_Painter_Jane","Lazy Line Painter Jane")</f>
        <v>Lazy Line Painter Jane</v>
      </c>
      <c r="D375" s="27">
        <v>1997</v>
      </c>
    </row>
    <row r="376" spans="1:4" ht="12.75">
      <c r="A376" s="7" t="s">
        <v>343</v>
      </c>
      <c r="B376" s="8">
        <v>95</v>
      </c>
      <c r="C376" s="9" t="str">
        <f>HYPERLINK("http://en.wikipedia.org/wiki/Dear_Catastrophe_Waitress","Dear Catastrophe Waitress")</f>
        <v>Dear Catastrophe Waitress</v>
      </c>
      <c r="D376" s="7">
        <v>2003</v>
      </c>
    </row>
    <row r="377" spans="1:4" ht="12.75">
      <c r="A377" s="27" t="s">
        <v>344</v>
      </c>
      <c r="B377" s="28">
        <v>85</v>
      </c>
      <c r="C377" s="29" t="str">
        <f>HYPERLINK("https://en.wikipedia.org/wiki/The_Boy_with_the_Arab_Strap","The Boy with the Arab Strap")</f>
        <v>The Boy with the Arab Strap</v>
      </c>
      <c r="D377" s="27">
        <v>1998</v>
      </c>
    </row>
    <row r="378" spans="1:4" ht="12.75">
      <c r="A378" s="152"/>
      <c r="B378" s="153"/>
      <c r="C378" s="153"/>
      <c r="D378" s="154"/>
    </row>
    <row r="379" spans="1:4" ht="18">
      <c r="A379" s="22" t="s">
        <v>345</v>
      </c>
      <c r="B379" s="43">
        <v>44488</v>
      </c>
      <c r="C379" s="24"/>
      <c r="D379" s="32" t="s">
        <v>1</v>
      </c>
    </row>
    <row r="380" spans="1:4" ht="12.75">
      <c r="A380" s="26" t="s">
        <v>2</v>
      </c>
      <c r="B380" s="26" t="s">
        <v>3</v>
      </c>
      <c r="C380" s="26" t="s">
        <v>4</v>
      </c>
      <c r="D380" s="26" t="s">
        <v>5</v>
      </c>
    </row>
    <row r="381" spans="1:4" ht="12.75">
      <c r="A381" s="7" t="s">
        <v>346</v>
      </c>
      <c r="B381" s="8">
        <v>72</v>
      </c>
      <c r="C381" s="9" t="s">
        <v>346</v>
      </c>
      <c r="D381" s="7">
        <v>2010</v>
      </c>
    </row>
    <row r="382" spans="1:4" ht="12.75">
      <c r="A382" s="27" t="s">
        <v>347</v>
      </c>
      <c r="B382" s="28">
        <v>57</v>
      </c>
      <c r="C382" s="29" t="s">
        <v>346</v>
      </c>
      <c r="D382" s="27">
        <v>2010</v>
      </c>
    </row>
    <row r="383" spans="1:4" ht="12.75">
      <c r="A383" s="7" t="s">
        <v>348</v>
      </c>
      <c r="B383" s="8">
        <v>48</v>
      </c>
      <c r="C383" s="9" t="s">
        <v>346</v>
      </c>
      <c r="D383" s="7">
        <v>2010</v>
      </c>
    </row>
    <row r="384" spans="1:4" ht="12.75">
      <c r="A384" s="27" t="s">
        <v>349</v>
      </c>
      <c r="B384" s="28">
        <v>44</v>
      </c>
      <c r="C384" s="29" t="s">
        <v>346</v>
      </c>
      <c r="D384" s="27">
        <v>2010</v>
      </c>
    </row>
    <row r="385" spans="1:4" ht="12.75">
      <c r="A385" s="7" t="s">
        <v>350</v>
      </c>
      <c r="B385" s="8">
        <v>41</v>
      </c>
      <c r="C385" s="9" t="s">
        <v>350</v>
      </c>
      <c r="D385" s="7">
        <v>2012</v>
      </c>
    </row>
    <row r="386" spans="1:4" ht="12.75">
      <c r="A386" s="27" t="s">
        <v>351</v>
      </c>
      <c r="B386" s="28">
        <v>33</v>
      </c>
      <c r="C386" s="29" t="s">
        <v>352</v>
      </c>
      <c r="D386" s="27">
        <v>2015</v>
      </c>
    </row>
    <row r="387" spans="1:4" ht="12.75">
      <c r="A387" s="7" t="s">
        <v>353</v>
      </c>
      <c r="B387" s="8">
        <v>28</v>
      </c>
      <c r="C387" s="9" t="s">
        <v>346</v>
      </c>
      <c r="D387" s="7">
        <v>2010</v>
      </c>
    </row>
    <row r="388" spans="1:4" ht="12.75">
      <c r="A388" s="27" t="s">
        <v>354</v>
      </c>
      <c r="B388" s="28">
        <v>24</v>
      </c>
      <c r="C388" s="29" t="s">
        <v>355</v>
      </c>
      <c r="D388" s="27">
        <v>2020</v>
      </c>
    </row>
    <row r="389" spans="1:4" ht="12.75">
      <c r="A389" s="7" t="s">
        <v>356</v>
      </c>
      <c r="B389" s="8">
        <v>23</v>
      </c>
      <c r="C389" s="7" t="s">
        <v>357</v>
      </c>
      <c r="D389" s="7">
        <v>2009</v>
      </c>
    </row>
    <row r="390" spans="1:4" ht="12.75">
      <c r="A390" s="27" t="s">
        <v>358</v>
      </c>
      <c r="B390" s="28">
        <v>23</v>
      </c>
      <c r="C390" s="29" t="s">
        <v>352</v>
      </c>
      <c r="D390" s="27">
        <v>2015</v>
      </c>
    </row>
    <row r="391" spans="1:4" ht="12.75">
      <c r="A391" s="152"/>
      <c r="B391" s="153"/>
      <c r="C391" s="153"/>
      <c r="D391" s="154"/>
    </row>
    <row r="392" spans="1:4" ht="18">
      <c r="A392" s="13" t="s">
        <v>359</v>
      </c>
      <c r="B392" s="47">
        <v>44894</v>
      </c>
      <c r="C392" s="48"/>
      <c r="D392" s="48"/>
    </row>
    <row r="393" spans="1:4" ht="12.75">
      <c r="A393" s="15" t="s">
        <v>2</v>
      </c>
      <c r="B393" s="15" t="s">
        <v>3</v>
      </c>
      <c r="C393" s="15" t="s">
        <v>4</v>
      </c>
      <c r="D393" s="15" t="s">
        <v>5</v>
      </c>
    </row>
    <row r="394" spans="1:4" ht="12.75">
      <c r="A394" s="16" t="s">
        <v>360</v>
      </c>
      <c r="B394" s="16">
        <v>403</v>
      </c>
      <c r="C394" s="16" t="s">
        <v>361</v>
      </c>
      <c r="D394" s="16">
        <v>2018</v>
      </c>
    </row>
    <row r="395" spans="1:4" ht="12.75">
      <c r="A395" s="17" t="s">
        <v>361</v>
      </c>
      <c r="B395" s="17">
        <v>344</v>
      </c>
      <c r="C395" s="17" t="s">
        <v>361</v>
      </c>
      <c r="D395" s="17">
        <v>2018</v>
      </c>
    </row>
    <row r="396" spans="1:4" ht="12.75">
      <c r="A396" s="16" t="s">
        <v>362</v>
      </c>
      <c r="B396" s="16">
        <v>282</v>
      </c>
      <c r="C396" s="16" t="s">
        <v>363</v>
      </c>
      <c r="D396" s="16">
        <v>2020</v>
      </c>
    </row>
    <row r="397" spans="1:4" ht="12.75">
      <c r="A397" s="17" t="s">
        <v>364</v>
      </c>
      <c r="B397" s="17">
        <v>275</v>
      </c>
      <c r="C397" s="17" t="s">
        <v>364</v>
      </c>
      <c r="D397" s="17">
        <v>2022</v>
      </c>
    </row>
    <row r="398" spans="1:4" ht="12.75">
      <c r="A398" s="16" t="s">
        <v>365</v>
      </c>
      <c r="B398" s="16">
        <v>217</v>
      </c>
      <c r="C398" s="16" t="s">
        <v>364</v>
      </c>
      <c r="D398" s="16">
        <v>2022</v>
      </c>
    </row>
    <row r="399" spans="1:4" ht="12.75">
      <c r="A399" s="17" t="s">
        <v>363</v>
      </c>
      <c r="B399" s="17">
        <v>185</v>
      </c>
      <c r="C399" s="17" t="s">
        <v>363</v>
      </c>
      <c r="D399" s="17">
        <v>2020</v>
      </c>
    </row>
    <row r="400" spans="1:4" ht="12.75">
      <c r="A400" s="16" t="s">
        <v>366</v>
      </c>
      <c r="B400" s="16">
        <v>147</v>
      </c>
      <c r="C400" s="16" t="s">
        <v>361</v>
      </c>
      <c r="D400" s="16">
        <v>2018</v>
      </c>
    </row>
    <row r="401" spans="1:4" ht="12.75">
      <c r="A401" s="17" t="s">
        <v>367</v>
      </c>
      <c r="B401" s="17">
        <v>146</v>
      </c>
      <c r="C401" s="17" t="s">
        <v>363</v>
      </c>
      <c r="D401" s="17">
        <v>2020</v>
      </c>
    </row>
    <row r="402" spans="1:4" ht="12.75">
      <c r="A402" s="16" t="s">
        <v>368</v>
      </c>
      <c r="B402" s="16">
        <v>138</v>
      </c>
      <c r="C402" s="16" t="s">
        <v>361</v>
      </c>
      <c r="D402" s="16">
        <v>2018</v>
      </c>
    </row>
    <row r="403" spans="1:4" ht="12.75">
      <c r="A403" s="17" t="s">
        <v>369</v>
      </c>
      <c r="B403" s="17">
        <v>115</v>
      </c>
      <c r="C403" s="17" t="s">
        <v>361</v>
      </c>
      <c r="D403" s="17">
        <v>2018</v>
      </c>
    </row>
    <row r="404" spans="1:4" ht="12.75">
      <c r="A404" s="155"/>
      <c r="B404" s="156"/>
      <c r="C404" s="156"/>
      <c r="D404" s="156"/>
    </row>
    <row r="405" spans="1:4" ht="18">
      <c r="A405" s="22" t="s">
        <v>370</v>
      </c>
      <c r="B405" s="30">
        <v>44461</v>
      </c>
      <c r="C405" s="24"/>
      <c r="D405" s="32" t="s">
        <v>1</v>
      </c>
    </row>
    <row r="406" spans="1:4" ht="12.75">
      <c r="A406" s="26" t="s">
        <v>2</v>
      </c>
      <c r="B406" s="26" t="s">
        <v>3</v>
      </c>
      <c r="C406" s="26" t="s">
        <v>4</v>
      </c>
      <c r="D406" s="26" t="s">
        <v>5</v>
      </c>
    </row>
    <row r="407" spans="1:4" ht="12.75">
      <c r="A407" s="7" t="s">
        <v>3997</v>
      </c>
      <c r="B407" s="8">
        <v>91</v>
      </c>
      <c r="C407" s="9" t="s">
        <v>371</v>
      </c>
      <c r="D407" s="7">
        <v>2013</v>
      </c>
    </row>
    <row r="408" spans="1:4" ht="12.75">
      <c r="A408" s="27" t="s">
        <v>372</v>
      </c>
      <c r="B408" s="28">
        <v>81</v>
      </c>
      <c r="C408" s="12" t="s">
        <v>373</v>
      </c>
      <c r="D408" s="27">
        <v>2009</v>
      </c>
    </row>
    <row r="409" spans="1:4" ht="12.75">
      <c r="A409" s="7" t="s">
        <v>374</v>
      </c>
      <c r="B409" s="8">
        <v>43</v>
      </c>
      <c r="C409" s="9" t="s">
        <v>375</v>
      </c>
      <c r="D409" s="7">
        <v>2019</v>
      </c>
    </row>
    <row r="410" spans="1:4" ht="12.75">
      <c r="A410" s="27" t="s">
        <v>376</v>
      </c>
      <c r="B410" s="28">
        <v>40</v>
      </c>
      <c r="C410" s="29" t="s">
        <v>377</v>
      </c>
      <c r="D410" s="27">
        <v>2016</v>
      </c>
    </row>
    <row r="411" spans="1:4" ht="12.75">
      <c r="A411" s="7" t="s">
        <v>378</v>
      </c>
      <c r="B411" s="8">
        <v>38</v>
      </c>
      <c r="C411" s="9" t="s">
        <v>373</v>
      </c>
      <c r="D411" s="7">
        <v>2009</v>
      </c>
    </row>
    <row r="412" spans="1:4" ht="12.75">
      <c r="A412" s="27" t="s">
        <v>379</v>
      </c>
      <c r="B412" s="28">
        <v>32</v>
      </c>
      <c r="C412" s="29" t="s">
        <v>371</v>
      </c>
      <c r="D412" s="27">
        <v>2013</v>
      </c>
    </row>
    <row r="413" spans="1:4" ht="12.75">
      <c r="A413" s="7" t="s">
        <v>380</v>
      </c>
      <c r="B413" s="8">
        <v>28</v>
      </c>
      <c r="C413" s="9" t="s">
        <v>381</v>
      </c>
      <c r="D413" s="7">
        <v>2009</v>
      </c>
    </row>
    <row r="414" spans="1:4" ht="12.75">
      <c r="A414" s="27" t="s">
        <v>373</v>
      </c>
      <c r="B414" s="28">
        <v>28</v>
      </c>
      <c r="C414" s="29" t="s">
        <v>373</v>
      </c>
      <c r="D414" s="27">
        <v>2009</v>
      </c>
    </row>
    <row r="415" spans="1:4" ht="12.75">
      <c r="A415" s="7" t="s">
        <v>382</v>
      </c>
      <c r="B415" s="8">
        <v>25</v>
      </c>
      <c r="C415" s="9" t="s">
        <v>383</v>
      </c>
      <c r="D415" s="7">
        <v>2011</v>
      </c>
    </row>
    <row r="416" spans="1:4" ht="12.75">
      <c r="A416" s="27" t="s">
        <v>384</v>
      </c>
      <c r="B416" s="28">
        <v>25</v>
      </c>
      <c r="C416" s="29" t="s">
        <v>383</v>
      </c>
      <c r="D416" s="27">
        <v>2011</v>
      </c>
    </row>
    <row r="417" spans="1:4" ht="12.75">
      <c r="A417" s="152"/>
      <c r="B417" s="153"/>
      <c r="C417" s="153"/>
      <c r="D417" s="154"/>
    </row>
    <row r="418" spans="1:4" ht="18">
      <c r="A418" s="22" t="str">
        <f>HYPERLINK("https://www.reddit.com/r/indieheads/comments/bohheq/top_ten_tuesday_big_star/","Big Star")</f>
        <v>Big Star</v>
      </c>
      <c r="B418" s="30">
        <v>43599</v>
      </c>
      <c r="C418" s="24"/>
      <c r="D418" s="32" t="s">
        <v>1</v>
      </c>
    </row>
    <row r="419" spans="1:4" ht="12.75">
      <c r="A419" s="33" t="s">
        <v>2</v>
      </c>
      <c r="B419" s="34" t="s">
        <v>3</v>
      </c>
      <c r="C419" s="33" t="s">
        <v>4</v>
      </c>
      <c r="D419" s="26" t="s">
        <v>5</v>
      </c>
    </row>
    <row r="420" spans="1:4" ht="12.75">
      <c r="A420" s="19" t="s">
        <v>385</v>
      </c>
      <c r="B420" s="49">
        <v>127</v>
      </c>
      <c r="C420" s="9" t="str">
        <f>HYPERLINK("https://en.wikipedia.org/wiki/Number_1_Record","#1 Record")</f>
        <v>#1 Record</v>
      </c>
      <c r="D420" s="19">
        <v>1972</v>
      </c>
    </row>
    <row r="421" spans="1:4" ht="12.75">
      <c r="A421" s="35" t="s">
        <v>386</v>
      </c>
      <c r="B421" s="50">
        <v>110</v>
      </c>
      <c r="C421" s="29" t="str">
        <f>HYPERLINK("https://en.wikipedia.org/wiki/Radio_City_(album)","Radio City")</f>
        <v>Radio City</v>
      </c>
      <c r="D421" s="35">
        <v>1974</v>
      </c>
    </row>
    <row r="422" spans="1:4" ht="12.75">
      <c r="A422" s="19" t="s">
        <v>387</v>
      </c>
      <c r="B422" s="49">
        <v>104</v>
      </c>
      <c r="C422" s="9" t="str">
        <f>HYPERLINK("https://en.wikipedia.org/wiki/Number_1_Record","#1 Record")</f>
        <v>#1 Record</v>
      </c>
      <c r="D422" s="19">
        <v>1972</v>
      </c>
    </row>
    <row r="423" spans="1:4" ht="12.75">
      <c r="A423" s="35" t="s">
        <v>388</v>
      </c>
      <c r="B423" s="50">
        <v>72</v>
      </c>
      <c r="C423" s="29" t="str">
        <f>HYPERLINK("https://en.wikipedia.org/wiki/Radio_City_(album)","Radio City")</f>
        <v>Radio City</v>
      </c>
      <c r="D423" s="35">
        <v>1974</v>
      </c>
    </row>
    <row r="424" spans="1:4" ht="12.75">
      <c r="A424" s="19" t="s">
        <v>389</v>
      </c>
      <c r="B424" s="49">
        <v>52</v>
      </c>
      <c r="C424" s="9" t="str">
        <f t="shared" ref="C424:C425" si="28">HYPERLINK("https://en.wikipedia.org/wiki/Third/Sister_Lovers","Third/Sister Lovers")</f>
        <v>Third/Sister Lovers</v>
      </c>
      <c r="D424" s="19">
        <v>1978</v>
      </c>
    </row>
    <row r="425" spans="1:4" ht="12.75">
      <c r="A425" s="35" t="s">
        <v>3939</v>
      </c>
      <c r="B425" s="50">
        <v>47</v>
      </c>
      <c r="C425" s="29" t="str">
        <f t="shared" si="28"/>
        <v>Third/Sister Lovers</v>
      </c>
      <c r="D425" s="35">
        <v>1978</v>
      </c>
    </row>
    <row r="426" spans="1:4" ht="12.75">
      <c r="A426" s="19" t="s">
        <v>390</v>
      </c>
      <c r="B426" s="49">
        <v>44</v>
      </c>
      <c r="C426" s="9" t="str">
        <f>HYPERLINK("https://en.wikipedia.org/wiki/Radio_City_(album)","Radio City")</f>
        <v>Radio City</v>
      </c>
      <c r="D426" s="19">
        <v>1974</v>
      </c>
    </row>
    <row r="427" spans="1:4" ht="12.75">
      <c r="A427" s="35" t="s">
        <v>391</v>
      </c>
      <c r="B427" s="50">
        <v>39</v>
      </c>
      <c r="C427" s="29" t="str">
        <f t="shared" ref="C427:C429" si="29">HYPERLINK("https://en.wikipedia.org/wiki/Number_1_Record","#1 Record")</f>
        <v>#1 Record</v>
      </c>
      <c r="D427" s="35">
        <v>1972</v>
      </c>
    </row>
    <row r="428" spans="1:4" ht="12.75">
      <c r="A428" s="19" t="s">
        <v>392</v>
      </c>
      <c r="B428" s="49">
        <v>38</v>
      </c>
      <c r="C428" s="9" t="str">
        <f t="shared" si="29"/>
        <v>#1 Record</v>
      </c>
      <c r="D428" s="19">
        <v>1972</v>
      </c>
    </row>
    <row r="429" spans="1:4" ht="12.75">
      <c r="A429" s="35" t="s">
        <v>393</v>
      </c>
      <c r="B429" s="50">
        <v>33</v>
      </c>
      <c r="C429" s="29" t="str">
        <f t="shared" si="29"/>
        <v>#1 Record</v>
      </c>
      <c r="D429" s="35">
        <v>1972</v>
      </c>
    </row>
    <row r="430" spans="1:4" ht="12.75">
      <c r="A430" s="152"/>
      <c r="B430" s="153"/>
      <c r="C430" s="153"/>
      <c r="D430" s="154"/>
    </row>
    <row r="431" spans="1:4" ht="18">
      <c r="A431" s="41" t="s">
        <v>394</v>
      </c>
      <c r="B431" s="51">
        <v>44875</v>
      </c>
      <c r="C431" s="31"/>
      <c r="D431" s="32"/>
    </row>
    <row r="432" spans="1:4" ht="12.75">
      <c r="A432" s="33" t="s">
        <v>2</v>
      </c>
      <c r="B432" s="33" t="s">
        <v>3</v>
      </c>
      <c r="C432" s="33" t="s">
        <v>4</v>
      </c>
      <c r="D432" s="33" t="s">
        <v>5</v>
      </c>
    </row>
    <row r="433" spans="1:4" ht="12.75">
      <c r="A433" s="19" t="s">
        <v>395</v>
      </c>
      <c r="B433" s="49">
        <v>490</v>
      </c>
      <c r="C433" s="19" t="s">
        <v>396</v>
      </c>
      <c r="D433" s="19">
        <v>2019</v>
      </c>
    </row>
    <row r="434" spans="1:4" ht="12.75">
      <c r="A434" s="35" t="s">
        <v>397</v>
      </c>
      <c r="B434" s="50">
        <v>418</v>
      </c>
      <c r="C434" s="35" t="s">
        <v>398</v>
      </c>
      <c r="D434" s="35">
        <v>2022</v>
      </c>
    </row>
    <row r="435" spans="1:4" ht="12.75">
      <c r="A435" s="19" t="s">
        <v>399</v>
      </c>
      <c r="B435" s="49">
        <v>311</v>
      </c>
      <c r="C435" s="19" t="s">
        <v>3940</v>
      </c>
      <c r="D435" s="19">
        <v>2019</v>
      </c>
    </row>
    <row r="436" spans="1:4" ht="12.75">
      <c r="A436" s="35" t="s">
        <v>400</v>
      </c>
      <c r="B436" s="50">
        <v>265</v>
      </c>
      <c r="C436" s="35" t="s">
        <v>401</v>
      </c>
      <c r="D436" s="35">
        <v>2017</v>
      </c>
    </row>
    <row r="437" spans="1:4" ht="12.75">
      <c r="A437" s="19" t="s">
        <v>402</v>
      </c>
      <c r="B437" s="49">
        <v>253</v>
      </c>
      <c r="C437" s="19" t="s">
        <v>401</v>
      </c>
      <c r="D437" s="19">
        <v>2017</v>
      </c>
    </row>
    <row r="438" spans="1:4" ht="12.75">
      <c r="A438" s="35" t="s">
        <v>403</v>
      </c>
      <c r="B438" s="50">
        <v>227</v>
      </c>
      <c r="C438" s="35" t="s">
        <v>398</v>
      </c>
      <c r="D438" s="35">
        <v>2022</v>
      </c>
    </row>
    <row r="439" spans="1:4" ht="12.75">
      <c r="A439" s="19" t="s">
        <v>404</v>
      </c>
      <c r="B439" s="49">
        <v>213</v>
      </c>
      <c r="C439" s="19" t="s">
        <v>405</v>
      </c>
      <c r="D439" s="19">
        <v>2016</v>
      </c>
    </row>
    <row r="440" spans="1:4" ht="12.75">
      <c r="A440" s="35" t="s">
        <v>405</v>
      </c>
      <c r="B440" s="50">
        <v>204</v>
      </c>
      <c r="C440" s="35" t="s">
        <v>405</v>
      </c>
      <c r="D440" s="35">
        <v>2016</v>
      </c>
    </row>
    <row r="441" spans="1:4" ht="12.75">
      <c r="A441" s="19" t="s">
        <v>3940</v>
      </c>
      <c r="B441" s="49">
        <v>190</v>
      </c>
      <c r="C441" s="19" t="s">
        <v>3940</v>
      </c>
      <c r="D441" s="19">
        <v>2019</v>
      </c>
    </row>
    <row r="442" spans="1:4" ht="12.75">
      <c r="A442" s="35" t="s">
        <v>406</v>
      </c>
      <c r="B442" s="50">
        <v>189</v>
      </c>
      <c r="C442" s="35" t="s">
        <v>401</v>
      </c>
      <c r="D442" s="35">
        <v>2017</v>
      </c>
    </row>
    <row r="443" spans="1:4" ht="12.75">
      <c r="A443" s="152"/>
      <c r="B443" s="153"/>
      <c r="C443" s="153"/>
      <c r="D443" s="154"/>
    </row>
    <row r="444" spans="1:4" ht="18">
      <c r="A444" s="22" t="str">
        <f>HYPERLINK("https://www.reddit.com/r/indieheads/comments/e1wlli/top_ten_tuesday_smog_bill_callahan/","Bill Callahan")</f>
        <v>Bill Callahan</v>
      </c>
      <c r="B444" s="52">
        <v>43795</v>
      </c>
      <c r="C444" s="31"/>
      <c r="D444" s="32" t="s">
        <v>1</v>
      </c>
    </row>
    <row r="445" spans="1:4" ht="12.75">
      <c r="A445" s="33" t="s">
        <v>2</v>
      </c>
      <c r="B445" s="33" t="s">
        <v>3</v>
      </c>
      <c r="C445" s="33" t="s">
        <v>4</v>
      </c>
      <c r="D445" s="33" t="s">
        <v>5</v>
      </c>
    </row>
    <row r="446" spans="1:4" ht="12.75">
      <c r="A446" s="19" t="s">
        <v>407</v>
      </c>
      <c r="B446" s="49">
        <v>150</v>
      </c>
      <c r="C446" s="9" t="str">
        <f>HYPERLINK("https://en.wikipedia.org/wiki/Sometimes_I_Wish_We_Were_an_Eagle","Sometimes I Wish We Were an Eagle")</f>
        <v>Sometimes I Wish We Were an Eagle</v>
      </c>
      <c r="D446" s="19">
        <v>2009</v>
      </c>
    </row>
    <row r="447" spans="1:4" ht="12.75">
      <c r="A447" s="35" t="s">
        <v>408</v>
      </c>
      <c r="B447" s="50">
        <v>119</v>
      </c>
      <c r="C447" s="29" t="str">
        <f>HYPERLINK("https://en.wikipedia.org/wiki/Apocalypse_(Bill_Callahan_album)","Apocalypse")</f>
        <v>Apocalypse</v>
      </c>
      <c r="D447" s="35">
        <v>2011</v>
      </c>
    </row>
    <row r="448" spans="1:4" ht="12.75">
      <c r="A448" s="35" t="s">
        <v>410</v>
      </c>
      <c r="B448" s="50">
        <v>87</v>
      </c>
      <c r="C448" s="29" t="str">
        <f>HYPERLINK("https://en.wikipedia.org/wiki/Apocalypse_(Bill_Callahan_album)","Apocalypse")</f>
        <v>Apocalypse</v>
      </c>
      <c r="D448" s="35">
        <v>2011</v>
      </c>
    </row>
    <row r="449" spans="1:4" ht="12.75">
      <c r="A449" s="19" t="s">
        <v>413</v>
      </c>
      <c r="B449" s="49">
        <v>70</v>
      </c>
      <c r="C449" s="9" t="str">
        <f>HYPERLINK("https://en.wikipedia.org/wiki/Sometimes_I_Wish_We_Were_an_Eagle","Sometimes I Wish We Were an Eagle")</f>
        <v>Sometimes I Wish We Were an Eagle</v>
      </c>
      <c r="D449" s="19">
        <v>2009</v>
      </c>
    </row>
    <row r="450" spans="1:4" ht="12.75">
      <c r="A450" s="35" t="s">
        <v>414</v>
      </c>
      <c r="B450" s="50">
        <v>70</v>
      </c>
      <c r="C450" s="29" t="str">
        <f>HYPERLINK("https://en.wikipedia.org/wiki/Dream_River","Dream River")</f>
        <v>Dream River</v>
      </c>
      <c r="D450" s="35">
        <v>2013</v>
      </c>
    </row>
    <row r="451" spans="1:4" ht="12.75">
      <c r="A451" s="19" t="s">
        <v>415</v>
      </c>
      <c r="B451" s="49">
        <v>67</v>
      </c>
      <c r="C451" s="9" t="str">
        <f>HYPERLINK("https://en.wikipedia.org/wiki/Apocalypse_(Bill_Callahan_album)","Apocalypse")</f>
        <v>Apocalypse</v>
      </c>
      <c r="D451" s="19">
        <v>2011</v>
      </c>
    </row>
    <row r="452" spans="1:4" ht="12.75">
      <c r="A452" s="35"/>
      <c r="B452" s="50"/>
      <c r="C452" s="29"/>
      <c r="D452" s="35"/>
    </row>
    <row r="453" spans="1:4" ht="18">
      <c r="A453" s="128" t="s">
        <v>3941</v>
      </c>
      <c r="B453" s="52">
        <v>43795</v>
      </c>
      <c r="C453" s="31"/>
      <c r="D453" s="32" t="s">
        <v>1</v>
      </c>
    </row>
    <row r="454" spans="1:4" ht="12.75">
      <c r="A454" s="33" t="s">
        <v>2</v>
      </c>
      <c r="B454" s="33" t="s">
        <v>3</v>
      </c>
      <c r="C454" s="33" t="s">
        <v>4</v>
      </c>
      <c r="D454" s="33" t="s">
        <v>5</v>
      </c>
    </row>
    <row r="455" spans="1:4" ht="12.75">
      <c r="A455" s="19" t="s">
        <v>409</v>
      </c>
      <c r="B455" s="49">
        <v>113</v>
      </c>
      <c r="C455" s="9" t="str">
        <f>HYPERLINK("https://en.wikipedia.org/wiki/A_River_Ain%27t_Too_Much_to_Love","A River Ain't Too Much to Love")</f>
        <v>A River Ain't Too Much to Love</v>
      </c>
      <c r="D455" s="19">
        <v>2005</v>
      </c>
    </row>
    <row r="456" spans="1:4" ht="12.75">
      <c r="A456" s="19" t="s">
        <v>411</v>
      </c>
      <c r="B456" s="49">
        <v>74</v>
      </c>
      <c r="C456" s="9" t="str">
        <f>HYPERLINK("https://en.wikipedia.org/wiki/Accumulation:_None","Accumulation: None")</f>
        <v>Accumulation: None</v>
      </c>
      <c r="D456" s="19">
        <v>2002</v>
      </c>
    </row>
    <row r="457" spans="1:4" ht="12.75">
      <c r="A457" s="35" t="s">
        <v>412</v>
      </c>
      <c r="B457" s="50">
        <v>71</v>
      </c>
      <c r="C457" s="29" t="str">
        <f>HYPERLINK("https://en.wikipedia.org/wiki/A_River_Ain%27t_Too_Much_to_Love","A River Ain't Too Much to Love")</f>
        <v>A River Ain't Too Much to Love</v>
      </c>
      <c r="D457" s="35">
        <v>2005</v>
      </c>
    </row>
    <row r="458" spans="1:4" ht="12.75">
      <c r="A458" s="35" t="s">
        <v>416</v>
      </c>
      <c r="B458" s="50">
        <v>66</v>
      </c>
      <c r="C458" s="29" t="str">
        <f>HYPERLINK("https://en.wikipedia.org/wiki/A_River_Ain%27t_Too_Much_to_Love","A River Ain't Too Much to Love")</f>
        <v>A River Ain't Too Much to Love</v>
      </c>
      <c r="D458" s="35">
        <v>2005</v>
      </c>
    </row>
    <row r="459" spans="1:4" ht="12.75">
      <c r="A459" s="152"/>
      <c r="B459" s="152"/>
      <c r="C459" s="152"/>
      <c r="D459" s="158"/>
    </row>
    <row r="460" spans="1:4" ht="18">
      <c r="A460" s="41" t="s">
        <v>417</v>
      </c>
      <c r="B460" s="23">
        <v>44938</v>
      </c>
      <c r="C460" s="24"/>
      <c r="D460" s="32"/>
    </row>
    <row r="461" spans="1:4" ht="12.75">
      <c r="A461" s="26" t="s">
        <v>2</v>
      </c>
      <c r="B461" s="26" t="s">
        <v>3</v>
      </c>
      <c r="C461" s="26" t="s">
        <v>4</v>
      </c>
      <c r="D461" s="26" t="s">
        <v>5</v>
      </c>
    </row>
    <row r="462" spans="1:4" ht="12.75">
      <c r="A462" s="19" t="s">
        <v>418</v>
      </c>
      <c r="B462" s="8">
        <v>340</v>
      </c>
      <c r="C462" s="19" t="s">
        <v>419</v>
      </c>
      <c r="D462" s="7">
        <v>1997</v>
      </c>
    </row>
    <row r="463" spans="1:4" ht="12.75">
      <c r="A463" s="20" t="s">
        <v>420</v>
      </c>
      <c r="B463" s="11">
        <v>307</v>
      </c>
      <c r="C463" s="20" t="s">
        <v>421</v>
      </c>
      <c r="D463" s="10">
        <v>1995</v>
      </c>
    </row>
    <row r="464" spans="1:4" ht="12.75">
      <c r="A464" s="19" t="s">
        <v>422</v>
      </c>
      <c r="B464" s="8">
        <v>283</v>
      </c>
      <c r="C464" s="19" t="s">
        <v>423</v>
      </c>
      <c r="D464" s="7">
        <v>2001</v>
      </c>
    </row>
    <row r="465" spans="1:4" ht="12.75">
      <c r="A465" s="20" t="s">
        <v>424</v>
      </c>
      <c r="B465" s="11">
        <v>242</v>
      </c>
      <c r="C465" s="20" t="s">
        <v>419</v>
      </c>
      <c r="D465" s="10">
        <v>1997</v>
      </c>
    </row>
    <row r="466" spans="1:4" ht="12.75">
      <c r="A466" s="19" t="s">
        <v>425</v>
      </c>
      <c r="B466" s="8">
        <v>186</v>
      </c>
      <c r="C466" s="19" t="s">
        <v>426</v>
      </c>
      <c r="D466" s="7">
        <v>2015</v>
      </c>
    </row>
    <row r="467" spans="1:4" ht="12.75">
      <c r="A467" s="20" t="s">
        <v>427</v>
      </c>
      <c r="B467" s="11">
        <v>178</v>
      </c>
      <c r="C467" s="20" t="s">
        <v>419</v>
      </c>
      <c r="D467" s="10">
        <v>1997</v>
      </c>
    </row>
    <row r="468" spans="1:4" ht="12.75">
      <c r="A468" s="19" t="s">
        <v>428</v>
      </c>
      <c r="B468" s="8">
        <v>156</v>
      </c>
      <c r="C468" s="19" t="s">
        <v>423</v>
      </c>
      <c r="D468" s="7">
        <v>2001</v>
      </c>
    </row>
    <row r="469" spans="1:4" ht="12.75">
      <c r="A469" s="20" t="s">
        <v>429</v>
      </c>
      <c r="B469" s="11">
        <v>147</v>
      </c>
      <c r="C469" s="20" t="s">
        <v>423</v>
      </c>
      <c r="D469" s="10">
        <v>2001</v>
      </c>
    </row>
    <row r="470" spans="1:4" ht="12.75">
      <c r="A470" s="19" t="s">
        <v>430</v>
      </c>
      <c r="B470" s="8">
        <v>141</v>
      </c>
      <c r="C470" s="19" t="s">
        <v>419</v>
      </c>
      <c r="D470" s="7">
        <v>1997</v>
      </c>
    </row>
    <row r="471" spans="1:4" ht="12.75">
      <c r="A471" s="35" t="s">
        <v>431</v>
      </c>
      <c r="B471" s="28">
        <v>101</v>
      </c>
      <c r="C471" s="35" t="s">
        <v>432</v>
      </c>
      <c r="D471" s="27">
        <v>1993</v>
      </c>
    </row>
    <row r="472" spans="1:4" ht="12.75">
      <c r="A472" s="152"/>
      <c r="B472" s="153"/>
      <c r="C472" s="153"/>
      <c r="D472" s="154"/>
    </row>
    <row r="473" spans="1:4" ht="18">
      <c r="A473" s="22" t="str">
        <f>HYPERLINK("https://www.reddit.com/r/indieheads/comments/a30eoc/top_ten_tuesday_the_black_keys/","The Black Keys")</f>
        <v>The Black Keys</v>
      </c>
      <c r="B473" s="23">
        <v>43438</v>
      </c>
      <c r="C473" s="24"/>
      <c r="D473" s="32" t="s">
        <v>1</v>
      </c>
    </row>
    <row r="474" spans="1:4" ht="12.75">
      <c r="A474" s="26" t="s">
        <v>2</v>
      </c>
      <c r="B474" s="26" t="s">
        <v>3</v>
      </c>
      <c r="C474" s="26" t="s">
        <v>4</v>
      </c>
      <c r="D474" s="26" t="s">
        <v>5</v>
      </c>
    </row>
    <row r="475" spans="1:4" ht="12.75">
      <c r="A475" s="19" t="s">
        <v>433</v>
      </c>
      <c r="B475" s="8">
        <v>183</v>
      </c>
      <c r="C475" s="9" t="str">
        <f>HYPERLINK("http://en.wikipedia.org/wiki/Brothers_(The_Black_Keys_album)","Brothers")</f>
        <v>Brothers</v>
      </c>
      <c r="D475" s="7">
        <v>2010</v>
      </c>
    </row>
    <row r="476" spans="1:4" ht="12.75">
      <c r="A476" s="35" t="s">
        <v>434</v>
      </c>
      <c r="B476" s="28">
        <v>171</v>
      </c>
      <c r="C476" s="29" t="str">
        <f>HYPERLINK("https://en.wikipedia.org/wiki/Turn_Blue_(album)","Turn Blue")</f>
        <v>Turn Blue</v>
      </c>
      <c r="D476" s="27">
        <v>2014</v>
      </c>
    </row>
    <row r="477" spans="1:4" ht="12.75">
      <c r="A477" s="19" t="s">
        <v>435</v>
      </c>
      <c r="B477" s="8">
        <v>171</v>
      </c>
      <c r="C477" s="9" t="str">
        <f>HYPERLINK("http://en.wikipedia.org/wiki/El_Camino_(The_Black_Keys_album)","El Camino")</f>
        <v>El Camino</v>
      </c>
      <c r="D477" s="7">
        <v>2011</v>
      </c>
    </row>
    <row r="478" spans="1:4" ht="12.75">
      <c r="A478" s="35" t="s">
        <v>436</v>
      </c>
      <c r="B478" s="28">
        <v>166</v>
      </c>
      <c r="C478" s="38" t="str">
        <f>HYPERLINK("http://en.wikipedia.org/wiki/Brothers_(The_Black_Keys_album)","Brothers")</f>
        <v>Brothers</v>
      </c>
      <c r="D478" s="27">
        <v>2010</v>
      </c>
    </row>
    <row r="479" spans="1:4" ht="12.75">
      <c r="A479" s="19" t="s">
        <v>437</v>
      </c>
      <c r="B479" s="8">
        <v>116</v>
      </c>
      <c r="C479" s="9" t="str">
        <f>HYPERLINK("http://en.wikipedia.org/wiki/Attack_%26_Release","Attack &amp; Release")</f>
        <v>Attack &amp; Release</v>
      </c>
      <c r="D479" s="7">
        <v>2008</v>
      </c>
    </row>
    <row r="480" spans="1:4" ht="12.75">
      <c r="A480" s="20" t="s">
        <v>438</v>
      </c>
      <c r="B480" s="11">
        <v>83</v>
      </c>
      <c r="C480" s="12" t="str">
        <f>HYPERLINK("http://en.wikipedia.org/wiki/Thickfreakness","Thickfreakness")</f>
        <v>Thickfreakness</v>
      </c>
      <c r="D480" s="10">
        <v>2003</v>
      </c>
    </row>
    <row r="481" spans="1:4" ht="12.75">
      <c r="A481" s="19" t="s">
        <v>439</v>
      </c>
      <c r="B481" s="8">
        <v>81</v>
      </c>
      <c r="C481" s="9" t="str">
        <f>HYPERLINK("http://en.wikipedia.org/wiki/El_Camino_(The_Black_Keys_album)","El Camino")</f>
        <v>El Camino</v>
      </c>
      <c r="D481" s="7">
        <v>2011</v>
      </c>
    </row>
    <row r="482" spans="1:4" ht="12.75">
      <c r="A482" s="35" t="s">
        <v>440</v>
      </c>
      <c r="B482" s="28">
        <v>64</v>
      </c>
      <c r="C482" s="29" t="str">
        <f>HYPERLINK("https://en.wikipedia.org/wiki/El_Camino_(The_Black_Keys_album)","El Camino")</f>
        <v>El Camino</v>
      </c>
      <c r="D482" s="27">
        <v>2011</v>
      </c>
    </row>
    <row r="483" spans="1:4" ht="12.75">
      <c r="A483" s="19" t="s">
        <v>441</v>
      </c>
      <c r="B483" s="8">
        <v>62</v>
      </c>
      <c r="C483" s="9" t="str">
        <f>HYPERLINK("http://en.wikipedia.org/wiki/Brothers_(The_Black_Keys_album)","Brothers")</f>
        <v>Brothers</v>
      </c>
      <c r="D483" s="7">
        <v>2010</v>
      </c>
    </row>
    <row r="484" spans="1:4" ht="12.75">
      <c r="A484" s="35" t="s">
        <v>442</v>
      </c>
      <c r="B484" s="28">
        <v>55</v>
      </c>
      <c r="C484" s="29" t="str">
        <f>HYPERLINK("https://en.wikipedia.org/wiki/Rubber_Factory","Rubber Factory")</f>
        <v>Rubber Factory</v>
      </c>
      <c r="D484" s="27">
        <v>2004</v>
      </c>
    </row>
    <row r="485" spans="1:4" ht="12.75">
      <c r="A485" s="152"/>
      <c r="B485" s="153"/>
      <c r="C485" s="153"/>
      <c r="D485" s="154"/>
    </row>
    <row r="486" spans="1:4" ht="18">
      <c r="A486" s="53" t="s">
        <v>443</v>
      </c>
      <c r="B486" s="54">
        <v>44845</v>
      </c>
      <c r="C486" s="55"/>
      <c r="D486" s="55"/>
    </row>
    <row r="487" spans="1:4" ht="12.75">
      <c r="A487" s="56" t="s">
        <v>2</v>
      </c>
      <c r="B487" s="56" t="s">
        <v>3</v>
      </c>
      <c r="C487" s="56" t="s">
        <v>4</v>
      </c>
      <c r="D487" s="56" t="s">
        <v>5</v>
      </c>
    </row>
    <row r="488" spans="1:4" ht="12.75">
      <c r="A488" s="40" t="s">
        <v>444</v>
      </c>
      <c r="B488" s="8">
        <v>700</v>
      </c>
      <c r="C488" s="40" t="s">
        <v>445</v>
      </c>
      <c r="D488" s="8">
        <v>2022</v>
      </c>
    </row>
    <row r="489" spans="1:4" ht="12.75">
      <c r="A489" s="57" t="s">
        <v>446</v>
      </c>
      <c r="B489" s="58">
        <v>625</v>
      </c>
      <c r="C489" s="57" t="s">
        <v>445</v>
      </c>
      <c r="D489" s="58">
        <v>2022</v>
      </c>
    </row>
    <row r="490" spans="1:4" ht="12.75">
      <c r="A490" s="40" t="s">
        <v>447</v>
      </c>
      <c r="B490" s="8">
        <v>614</v>
      </c>
      <c r="C490" s="40" t="s">
        <v>448</v>
      </c>
      <c r="D490" s="8">
        <v>2021</v>
      </c>
    </row>
    <row r="491" spans="1:4" ht="12.75">
      <c r="A491" s="57" t="s">
        <v>449</v>
      </c>
      <c r="B491" s="58">
        <v>514</v>
      </c>
      <c r="C491" s="57" t="s">
        <v>448</v>
      </c>
      <c r="D491" s="58">
        <v>2021</v>
      </c>
    </row>
    <row r="492" spans="1:4" ht="12.75">
      <c r="A492" s="40" t="s">
        <v>450</v>
      </c>
      <c r="B492" s="8">
        <v>501</v>
      </c>
      <c r="C492" s="40" t="s">
        <v>451</v>
      </c>
      <c r="D492" s="8">
        <v>2019</v>
      </c>
    </row>
    <row r="493" spans="1:4" ht="12.75">
      <c r="A493" s="57" t="s">
        <v>452</v>
      </c>
      <c r="B493" s="58">
        <v>446</v>
      </c>
      <c r="C493" s="57" t="s">
        <v>451</v>
      </c>
      <c r="D493" s="58">
        <v>2019</v>
      </c>
    </row>
    <row r="494" spans="1:4" ht="12.75">
      <c r="A494" s="40">
        <v>953</v>
      </c>
      <c r="B494" s="8">
        <v>404</v>
      </c>
      <c r="C494" s="40" t="s">
        <v>451</v>
      </c>
      <c r="D494" s="8">
        <v>2019</v>
      </c>
    </row>
    <row r="495" spans="1:4" ht="12.75">
      <c r="A495" s="57" t="s">
        <v>453</v>
      </c>
      <c r="B495" s="58">
        <v>335</v>
      </c>
      <c r="C495" s="57" t="s">
        <v>445</v>
      </c>
      <c r="D495" s="58">
        <v>2022</v>
      </c>
    </row>
    <row r="496" spans="1:4" ht="12.75">
      <c r="A496" s="40" t="s">
        <v>454</v>
      </c>
      <c r="B496" s="8">
        <v>329</v>
      </c>
      <c r="C496" s="40" t="s">
        <v>451</v>
      </c>
      <c r="D496" s="8">
        <v>2019</v>
      </c>
    </row>
    <row r="497" spans="1:4" ht="12.75">
      <c r="A497" s="57" t="s">
        <v>455</v>
      </c>
      <c r="B497" s="58">
        <v>224</v>
      </c>
      <c r="C497" s="57" t="s">
        <v>445</v>
      </c>
      <c r="D497" s="58">
        <v>2022</v>
      </c>
    </row>
    <row r="498" spans="1:4" ht="12.75">
      <c r="A498" s="155"/>
      <c r="B498" s="156"/>
      <c r="C498" s="156"/>
      <c r="D498" s="156"/>
    </row>
    <row r="499" spans="1:4" ht="18">
      <c r="A499" s="13" t="s">
        <v>456</v>
      </c>
      <c r="B499" s="14">
        <v>44957</v>
      </c>
      <c r="C499" s="48"/>
      <c r="D499" s="48"/>
    </row>
    <row r="500" spans="1:4" ht="12.75">
      <c r="A500" s="15" t="s">
        <v>2</v>
      </c>
      <c r="B500" s="15" t="s">
        <v>3</v>
      </c>
      <c r="C500" s="15" t="s">
        <v>4</v>
      </c>
      <c r="D500" s="15" t="s">
        <v>5</v>
      </c>
    </row>
    <row r="501" spans="1:4" ht="12.75">
      <c r="A501" s="16" t="s">
        <v>457</v>
      </c>
      <c r="B501" s="16">
        <v>94</v>
      </c>
      <c r="C501" s="16" t="s">
        <v>458</v>
      </c>
      <c r="D501" s="16">
        <v>2017</v>
      </c>
    </row>
    <row r="502" spans="1:4" ht="12.75">
      <c r="A502" s="58" t="s">
        <v>459</v>
      </c>
      <c r="B502" s="58">
        <v>88</v>
      </c>
      <c r="C502" s="58" t="s">
        <v>460</v>
      </c>
      <c r="D502" s="58">
        <v>2014</v>
      </c>
    </row>
    <row r="503" spans="1:4" ht="12.75">
      <c r="A503" s="16" t="s">
        <v>461</v>
      </c>
      <c r="B503" s="16">
        <v>71</v>
      </c>
      <c r="C503" s="16" t="s">
        <v>460</v>
      </c>
      <c r="D503" s="16">
        <v>2014</v>
      </c>
    </row>
    <row r="504" spans="1:4" ht="12.75">
      <c r="A504" s="58" t="s">
        <v>462</v>
      </c>
      <c r="B504" s="58">
        <v>42</v>
      </c>
      <c r="C504" s="58" t="s">
        <v>463</v>
      </c>
      <c r="D504" s="58">
        <v>2021</v>
      </c>
    </row>
    <row r="505" spans="1:4" ht="12.75">
      <c r="A505" s="16" t="s">
        <v>464</v>
      </c>
      <c r="B505" s="16">
        <v>41</v>
      </c>
      <c r="C505" s="16" t="s">
        <v>463</v>
      </c>
      <c r="D505" s="16">
        <v>2021</v>
      </c>
    </row>
    <row r="506" spans="1:4" ht="12.75">
      <c r="A506" s="58" t="s">
        <v>465</v>
      </c>
      <c r="B506" s="58">
        <v>38</v>
      </c>
      <c r="C506" s="58" t="s">
        <v>458</v>
      </c>
      <c r="D506" s="58">
        <v>2017</v>
      </c>
    </row>
    <row r="507" spans="1:4" ht="12.75">
      <c r="A507" s="16" t="s">
        <v>466</v>
      </c>
      <c r="B507" s="16">
        <v>34</v>
      </c>
      <c r="C507" s="16" t="s">
        <v>463</v>
      </c>
      <c r="D507" s="16">
        <v>2021</v>
      </c>
    </row>
    <row r="508" spans="1:4" ht="12.75">
      <c r="A508" s="58" t="s">
        <v>467</v>
      </c>
      <c r="B508" s="58">
        <v>33</v>
      </c>
      <c r="C508" s="58" t="s">
        <v>458</v>
      </c>
      <c r="D508" s="58">
        <v>2017</v>
      </c>
    </row>
    <row r="509" spans="1:4" ht="12.75">
      <c r="A509" s="16" t="s">
        <v>468</v>
      </c>
      <c r="B509" s="16">
        <v>33</v>
      </c>
      <c r="C509" s="16" t="s">
        <v>460</v>
      </c>
      <c r="D509" s="16">
        <v>2014</v>
      </c>
    </row>
    <row r="510" spans="1:4" ht="12.75">
      <c r="A510" s="58" t="s">
        <v>469</v>
      </c>
      <c r="B510" s="58">
        <v>24</v>
      </c>
      <c r="C510" s="58" t="s">
        <v>460</v>
      </c>
      <c r="D510" s="58">
        <v>2014</v>
      </c>
    </row>
    <row r="511" spans="1:4" ht="12.75">
      <c r="A511" s="152"/>
      <c r="B511" s="153"/>
      <c r="C511" s="153"/>
      <c r="D511" s="154"/>
    </row>
    <row r="512" spans="1:4" ht="18">
      <c r="A512" s="22" t="str">
        <f>HYPERLINK("https://www.reddit.com/r/indieheads/comments/54tt06/top_ten_tuesday_bloc_party/","Bloc Party")</f>
        <v>Bloc Party</v>
      </c>
      <c r="B512" s="43">
        <v>42641</v>
      </c>
      <c r="C512" s="24"/>
      <c r="D512" s="25" t="s">
        <v>1</v>
      </c>
    </row>
    <row r="513" spans="1:4" ht="12.75">
      <c r="A513" s="26" t="s">
        <v>2</v>
      </c>
      <c r="B513" s="26" t="s">
        <v>3</v>
      </c>
      <c r="C513" s="26" t="s">
        <v>4</v>
      </c>
      <c r="D513" s="26" t="s">
        <v>5</v>
      </c>
    </row>
    <row r="514" spans="1:4" ht="12.75">
      <c r="A514" s="7" t="s">
        <v>470</v>
      </c>
      <c r="B514" s="8">
        <v>259</v>
      </c>
      <c r="C514" s="9" t="str">
        <f t="shared" ref="C514:C517" si="30">HYPERLINK("https://en.wikipedia.org/wiki/Silent_Alarm","Silent Alarm")</f>
        <v>Silent Alarm</v>
      </c>
      <c r="D514" s="7">
        <v>2005</v>
      </c>
    </row>
    <row r="515" spans="1:4" ht="12.75">
      <c r="A515" s="27" t="s">
        <v>471</v>
      </c>
      <c r="B515" s="28">
        <v>241</v>
      </c>
      <c r="C515" s="38" t="str">
        <f t="shared" si="30"/>
        <v>Silent Alarm</v>
      </c>
      <c r="D515" s="27">
        <v>2005</v>
      </c>
    </row>
    <row r="516" spans="1:4" ht="12.75">
      <c r="A516" s="7" t="s">
        <v>472</v>
      </c>
      <c r="B516" s="8">
        <v>233</v>
      </c>
      <c r="C516" s="9" t="str">
        <f t="shared" si="30"/>
        <v>Silent Alarm</v>
      </c>
      <c r="D516" s="7">
        <v>2005</v>
      </c>
    </row>
    <row r="517" spans="1:4" ht="12.75">
      <c r="A517" s="27" t="s">
        <v>473</v>
      </c>
      <c r="B517" s="28">
        <v>152</v>
      </c>
      <c r="C517" s="38" t="str">
        <f t="shared" si="30"/>
        <v>Silent Alarm</v>
      </c>
      <c r="D517" s="27">
        <v>2004</v>
      </c>
    </row>
    <row r="518" spans="1:4" ht="12.75">
      <c r="A518" s="7" t="s">
        <v>474</v>
      </c>
      <c r="B518" s="8">
        <v>101</v>
      </c>
      <c r="C518" s="9" t="str">
        <f>HYPERLINK("https://en.wikipedia.org/wiki/Intimacy_(Bloc_Party_album)","Intimacy")</f>
        <v>Intimacy</v>
      </c>
      <c r="D518" s="7">
        <v>2008</v>
      </c>
    </row>
    <row r="519" spans="1:4" ht="12.75">
      <c r="A519" s="27" t="s">
        <v>475</v>
      </c>
      <c r="B519" s="28">
        <v>85</v>
      </c>
      <c r="C519" s="38" t="str">
        <f>HYPERLINK("https://en.wikipedia.org/wiki/Silent_Alarm","Silent Alarm")</f>
        <v>Silent Alarm</v>
      </c>
      <c r="D519" s="27">
        <v>2005</v>
      </c>
    </row>
    <row r="520" spans="1:4" ht="12.75">
      <c r="A520" s="7" t="s">
        <v>476</v>
      </c>
      <c r="B520" s="8">
        <v>83</v>
      </c>
      <c r="C520" s="9" t="str">
        <f>HYPERLINK("https://en.wikipedia.org/wiki/A_Weekend_in_the_City","A Weekend in the City")</f>
        <v>A Weekend in the City</v>
      </c>
      <c r="D520" s="7">
        <v>2007</v>
      </c>
    </row>
    <row r="521" spans="1:4" ht="12.75">
      <c r="A521" s="27" t="s">
        <v>477</v>
      </c>
      <c r="B521" s="28">
        <v>80</v>
      </c>
      <c r="C521" s="38" t="str">
        <f>HYPERLINK("https://en.wikipedia.org/wiki/Silent_Alarm","Silent Alarm")</f>
        <v>Silent Alarm</v>
      </c>
      <c r="D521" s="27">
        <v>2005</v>
      </c>
    </row>
    <row r="522" spans="1:4" ht="12.75">
      <c r="A522" s="7" t="s">
        <v>478</v>
      </c>
      <c r="B522" s="8">
        <v>79</v>
      </c>
      <c r="C522" s="9" t="str">
        <f>HYPERLINK("https://en.wikipedia.org/wiki/A_Weekend_in_the_City","A Weekend in the City")</f>
        <v>A Weekend in the City</v>
      </c>
      <c r="D522" s="7">
        <v>2007</v>
      </c>
    </row>
    <row r="523" spans="1:4" ht="12.75">
      <c r="A523" s="27" t="s">
        <v>479</v>
      </c>
      <c r="B523" s="28">
        <v>78</v>
      </c>
      <c r="C523" s="29" t="str">
        <f>HYPERLINK("https://en.wikipedia.org/wiki/Little_Thoughts_(EP)","Little Thoughts EP")</f>
        <v>Little Thoughts EP</v>
      </c>
      <c r="D523" s="27">
        <v>2004</v>
      </c>
    </row>
    <row r="524" spans="1:4" ht="12.75">
      <c r="A524" s="152"/>
      <c r="B524" s="153"/>
      <c r="C524" s="153"/>
      <c r="D524" s="154"/>
    </row>
    <row r="525" spans="1:4" ht="18">
      <c r="A525" s="22" t="s">
        <v>480</v>
      </c>
      <c r="B525" s="30">
        <v>44593</v>
      </c>
      <c r="C525" s="24"/>
      <c r="D525" s="32" t="s">
        <v>1</v>
      </c>
    </row>
    <row r="526" spans="1:4" ht="12.75">
      <c r="A526" s="26" t="s">
        <v>2</v>
      </c>
      <c r="B526" s="34" t="s">
        <v>3</v>
      </c>
      <c r="C526" s="26" t="s">
        <v>4</v>
      </c>
      <c r="D526" s="26" t="s">
        <v>5</v>
      </c>
    </row>
    <row r="527" spans="1:4" ht="12.75">
      <c r="A527" s="7" t="s">
        <v>481</v>
      </c>
      <c r="B527" s="8">
        <v>153</v>
      </c>
      <c r="C527" s="9" t="s">
        <v>482</v>
      </c>
      <c r="D527" s="7">
        <v>2013</v>
      </c>
    </row>
    <row r="528" spans="1:4" ht="12.75">
      <c r="A528" s="27" t="s">
        <v>483</v>
      </c>
      <c r="B528" s="28">
        <v>135</v>
      </c>
      <c r="C528" s="29" t="s">
        <v>484</v>
      </c>
      <c r="D528" s="27">
        <v>2016</v>
      </c>
    </row>
    <row r="529" spans="1:4" ht="12.75">
      <c r="A529" s="7" t="s">
        <v>485</v>
      </c>
      <c r="B529" s="8">
        <v>79</v>
      </c>
      <c r="C529" s="9" t="s">
        <v>486</v>
      </c>
      <c r="D529" s="7">
        <v>2018</v>
      </c>
    </row>
    <row r="530" spans="1:4" ht="12.75">
      <c r="A530" s="27" t="s">
        <v>487</v>
      </c>
      <c r="B530" s="28">
        <v>78</v>
      </c>
      <c r="C530" s="29" t="s">
        <v>482</v>
      </c>
      <c r="D530" s="27">
        <v>2013</v>
      </c>
    </row>
    <row r="531" spans="1:4" ht="12.75">
      <c r="A531" s="7" t="s">
        <v>488</v>
      </c>
      <c r="B531" s="8">
        <v>76</v>
      </c>
      <c r="C531" s="9" t="s">
        <v>482</v>
      </c>
      <c r="D531" s="7">
        <v>2013</v>
      </c>
    </row>
    <row r="532" spans="1:4" ht="12.75">
      <c r="A532" s="27" t="s">
        <v>489</v>
      </c>
      <c r="B532" s="28">
        <v>67</v>
      </c>
      <c r="C532" s="29" t="s">
        <v>484</v>
      </c>
      <c r="D532" s="27">
        <v>2016</v>
      </c>
    </row>
    <row r="533" spans="1:4" ht="12.75">
      <c r="A533" s="7" t="s">
        <v>490</v>
      </c>
      <c r="B533" s="8">
        <v>65</v>
      </c>
      <c r="C533" s="9" t="s">
        <v>482</v>
      </c>
      <c r="D533" s="7">
        <v>2013</v>
      </c>
    </row>
    <row r="534" spans="1:4" ht="12.75">
      <c r="A534" s="27" t="s">
        <v>491</v>
      </c>
      <c r="B534" s="28">
        <v>56</v>
      </c>
      <c r="C534" s="29" t="s">
        <v>492</v>
      </c>
      <c r="D534" s="27">
        <v>2011</v>
      </c>
    </row>
    <row r="535" spans="1:4" ht="12.75">
      <c r="A535" s="7" t="s">
        <v>493</v>
      </c>
      <c r="B535" s="8">
        <v>47</v>
      </c>
      <c r="C535" s="9" t="s">
        <v>486</v>
      </c>
      <c r="D535" s="7">
        <v>2018</v>
      </c>
    </row>
    <row r="536" spans="1:4" ht="12.75">
      <c r="A536" s="27" t="s">
        <v>494</v>
      </c>
      <c r="B536" s="28">
        <v>41</v>
      </c>
      <c r="C536" s="29" t="s">
        <v>495</v>
      </c>
      <c r="D536" s="27">
        <v>2019</v>
      </c>
    </row>
    <row r="537" spans="1:4" ht="12.75">
      <c r="A537" s="152"/>
      <c r="B537" s="153"/>
      <c r="C537" s="153"/>
      <c r="D537" s="154"/>
    </row>
    <row r="538" spans="1:4" ht="18">
      <c r="A538" s="22" t="str">
        <f>HYPERLINK("https://www.reddit.com/r/indieheads/comments/4ir4ub/top_ten_tuesday_blur/","Blur")</f>
        <v>Blur</v>
      </c>
      <c r="B538" s="23">
        <v>42500</v>
      </c>
      <c r="C538" s="24"/>
      <c r="D538" s="25" t="s">
        <v>1</v>
      </c>
    </row>
    <row r="539" spans="1:4" ht="12.75">
      <c r="A539" s="26" t="s">
        <v>2</v>
      </c>
      <c r="B539" s="26" t="s">
        <v>3</v>
      </c>
      <c r="C539" s="26" t="s">
        <v>4</v>
      </c>
      <c r="D539" s="26" t="s">
        <v>5</v>
      </c>
    </row>
    <row r="540" spans="1:4" ht="12.75">
      <c r="A540" s="9" t="str">
        <f>HYPERLINK("https://www.youtube.com/watch?v=BrbxWOMpwfs","The Universal")</f>
        <v>The Universal</v>
      </c>
      <c r="B540" s="8">
        <v>224</v>
      </c>
      <c r="C540" s="9" t="str">
        <f>HYPERLINK("https://en.wikipedia.org/wiki/The_Great_Escape_(Blur_album)","The Great Escape")</f>
        <v>The Great Escape</v>
      </c>
      <c r="D540" s="7">
        <v>1995</v>
      </c>
    </row>
    <row r="541" spans="1:4" ht="12.75">
      <c r="A541" s="38" t="str">
        <f>HYPERLINK("https://www.youtube.com/watch?v=6oqXVx3sBOk","Coffee &amp; TV")</f>
        <v>Coffee &amp; TV</v>
      </c>
      <c r="B541" s="28">
        <v>211</v>
      </c>
      <c r="C541" s="38" t="str">
        <f>HYPERLINK("https://en.wikipedia.org/wiki/13_(Blur_album)","13")</f>
        <v>13</v>
      </c>
      <c r="D541" s="27">
        <v>1999</v>
      </c>
    </row>
    <row r="542" spans="1:4" ht="12.75">
      <c r="A542" s="9" t="str">
        <f>HYPERLINK("https://www.youtube.com/watch?v=WAXnqjUfal4","Beetlebum")</f>
        <v>Beetlebum</v>
      </c>
      <c r="B542" s="8">
        <v>197</v>
      </c>
      <c r="C542" s="9" t="str">
        <f>HYPERLINK("https://en.wikipedia.org/wiki/Blur_(Blur_album)","Blur")</f>
        <v>Blur</v>
      </c>
      <c r="D542" s="7">
        <v>1997</v>
      </c>
    </row>
    <row r="543" spans="1:4" ht="12.75">
      <c r="A543" s="38" t="str">
        <f>HYPERLINK("https://www.youtube.com/watch?v=P_OK_H8F2g0","Tender")</f>
        <v>Tender</v>
      </c>
      <c r="B543" s="28">
        <v>177</v>
      </c>
      <c r="C543" s="38" t="str">
        <f>HYPERLINK("https://en.wikipedia.org/wiki/13_(Blur_album)","13")</f>
        <v>13</v>
      </c>
      <c r="D543" s="27">
        <v>1999</v>
      </c>
    </row>
    <row r="544" spans="1:4" ht="12.75">
      <c r="A544" s="9" t="str">
        <f>HYPERLINK("https://www.youtube.com/watch?v=gghFPavXE7Q","For Tomorrow")</f>
        <v>For Tomorrow</v>
      </c>
      <c r="B544" s="8">
        <v>162</v>
      </c>
      <c r="C544" s="9" t="str">
        <f>HYPERLINK("https://en.wikipedia.org/wiki/Modern_Life_Is_Rubbish","Modern Life Is Rubbish")</f>
        <v>Modern Life Is Rubbish</v>
      </c>
      <c r="D544" s="7">
        <v>1993</v>
      </c>
    </row>
    <row r="545" spans="1:4" ht="12.75">
      <c r="A545" s="38" t="str">
        <f>HYPERLINK("https://www.youtube.com/watch?v=SD8gO8TAr4s","This Is a Low")</f>
        <v>This Is a Low</v>
      </c>
      <c r="B545" s="28">
        <v>95</v>
      </c>
      <c r="C545" s="38" t="str">
        <f t="shared" ref="C545:C546" si="31">HYPERLINK("https://en.wikipedia.org/wiki/Parklife","Parklife")</f>
        <v>Parklife</v>
      </c>
      <c r="D545" s="27">
        <v>1994</v>
      </c>
    </row>
    <row r="546" spans="1:4" ht="12.75">
      <c r="A546" s="9" t="str">
        <f>HYPERLINK("https://www.youtube.com/watch?v=WDswiT87oo8","Girls &amp; Boys")</f>
        <v>Girls &amp; Boys</v>
      </c>
      <c r="B546" s="8">
        <v>95</v>
      </c>
      <c r="C546" s="9" t="str">
        <f t="shared" si="31"/>
        <v>Parklife</v>
      </c>
      <c r="D546" s="7">
        <v>1994</v>
      </c>
    </row>
    <row r="547" spans="1:4" ht="12.75">
      <c r="A547" s="38" t="str">
        <f>HYPERLINK("https://www.youtube.com/watch?v=jFsggRJzYek","Trimm Trabb")</f>
        <v>Trimm Trabb</v>
      </c>
      <c r="B547" s="28">
        <v>93</v>
      </c>
      <c r="C547" s="38" t="str">
        <f>HYPERLINK("https://en.wikipedia.org/wiki/13_(Blur_album)","13")</f>
        <v>13</v>
      </c>
      <c r="D547" s="27">
        <v>1999</v>
      </c>
    </row>
    <row r="548" spans="1:4" ht="12.75">
      <c r="A548" s="9" t="str">
        <f>HYPERLINK("https://www.youtube.com/watch?v=X0YvOncfBJU","To the End")</f>
        <v>To the End</v>
      </c>
      <c r="B548" s="8">
        <v>93</v>
      </c>
      <c r="C548" s="9" t="str">
        <f t="shared" ref="C548:C549" si="32">HYPERLINK("https://en.wikipedia.org/wiki/Parklife","Parklife")</f>
        <v>Parklife</v>
      </c>
      <c r="D548" s="7">
        <v>1994</v>
      </c>
    </row>
    <row r="549" spans="1:4" ht="12.75">
      <c r="A549" s="29" t="str">
        <f>HYPERLINK("https://www.youtube.com/watch?v=A7x28-V66eQ","Parklife")</f>
        <v>Parklife</v>
      </c>
      <c r="B549" s="28">
        <v>77</v>
      </c>
      <c r="C549" s="29" t="str">
        <f t="shared" si="32"/>
        <v>Parklife</v>
      </c>
      <c r="D549" s="27">
        <v>1994</v>
      </c>
    </row>
    <row r="550" spans="1:4" ht="12.75">
      <c r="A550" s="152"/>
      <c r="B550" s="153"/>
      <c r="C550" s="153"/>
      <c r="D550" s="154"/>
    </row>
    <row r="551" spans="1:4" ht="18">
      <c r="A551" s="22" t="str">
        <f>HYPERLINK("https://www.reddit.com/r/indieheads/comments/463zg8/top_ten_tuesday_boards_of_canada/","Boards of Canada")</f>
        <v>Boards of Canada</v>
      </c>
      <c r="B551" s="23">
        <v>42416</v>
      </c>
      <c r="C551" s="24"/>
      <c r="D551" s="25" t="s">
        <v>1</v>
      </c>
    </row>
    <row r="552" spans="1:4" ht="12.75">
      <c r="A552" s="26" t="s">
        <v>2</v>
      </c>
      <c r="B552" s="26" t="s">
        <v>3</v>
      </c>
      <c r="C552" s="26" t="s">
        <v>4</v>
      </c>
      <c r="D552" s="26" t="s">
        <v>5</v>
      </c>
    </row>
    <row r="553" spans="1:4" ht="12.75">
      <c r="A553" s="9" t="str">
        <f>HYPERLINK("https://www.youtube.com/watch?v=XVsucS0rU3s","Dayvan Cowboy")</f>
        <v>Dayvan Cowboy</v>
      </c>
      <c r="B553" s="8">
        <v>130</v>
      </c>
      <c r="C553" s="9" t="str">
        <f>HYPERLINK("https://en.wikipedia.org/wiki/The_Campfire_Headphase","The Campfire Headphase")</f>
        <v>The Campfire Headphase</v>
      </c>
      <c r="D553" s="7">
        <v>2005</v>
      </c>
    </row>
    <row r="554" spans="1:4" ht="12.75">
      <c r="A554" s="38" t="str">
        <f>HYPERLINK("https://www.youtube.com/watch?v=CMRLlSPt7ak","Roygbiv")</f>
        <v>Roygbiv</v>
      </c>
      <c r="B554" s="28">
        <v>116</v>
      </c>
      <c r="C554" s="38" t="str">
        <f t="shared" ref="C554:C555" si="33">HYPERLINK("https://en.wikipedia.org/wiki/Music_Has_the_Right_to_Children","Music Has the Right to Children")</f>
        <v>Music Has the Right to Children</v>
      </c>
      <c r="D554" s="27">
        <v>1998</v>
      </c>
    </row>
    <row r="555" spans="1:4" ht="12.75">
      <c r="A555" s="9" t="str">
        <f>HYPERLINK("https://www.youtube.com/watch?v=St-mEIhvKOI","Aquarius")</f>
        <v>Aquarius</v>
      </c>
      <c r="B555" s="8">
        <v>95</v>
      </c>
      <c r="C555" s="9" t="str">
        <f t="shared" si="33"/>
        <v>Music Has the Right to Children</v>
      </c>
      <c r="D555" s="7">
        <v>1998</v>
      </c>
    </row>
    <row r="556" spans="1:4" ht="12.75">
      <c r="A556" s="38" t="str">
        <f>HYPERLINK("https://www.youtube.com/watch?v=O63vBvgQfUU","Dawn Chorus")</f>
        <v>Dawn Chorus</v>
      </c>
      <c r="B556" s="28">
        <v>87</v>
      </c>
      <c r="C556" s="38" t="str">
        <f>HYPERLINK("https://en.wikipedia.org/wiki/Geogaddi","Geodaddi")</f>
        <v>Geodaddi</v>
      </c>
      <c r="D556" s="27">
        <v>2002</v>
      </c>
    </row>
    <row r="557" spans="1:4" ht="12.75">
      <c r="A557" s="9" t="str">
        <f>HYPERLINK("https://www.youtube.com/watch?v=NqmR2eLopTE","Turquoise Hexagon Sun")</f>
        <v>Turquoise Hexagon Sun</v>
      </c>
      <c r="B557" s="8">
        <v>78</v>
      </c>
      <c r="C557" s="9" t="str">
        <f>HYPERLINK("https://en.wikipedia.org/wiki/Hi_Scores","Hi Scores")</f>
        <v>Hi Scores</v>
      </c>
      <c r="D557" s="7">
        <v>1996</v>
      </c>
    </row>
    <row r="558" spans="1:4" ht="12.75">
      <c r="A558" s="38" t="str">
        <f>HYPERLINK("https://www.youtube.com/watch?v=JH19Wqr26Ck","Peacock Tail")</f>
        <v>Peacock Tail</v>
      </c>
      <c r="B558" s="28">
        <v>69</v>
      </c>
      <c r="C558" s="38" t="str">
        <f>HYPERLINK("https://en.wikipedia.org/wiki/The_Campfire_Headphase","The Campfire Headphase")</f>
        <v>The Campfire Headphase</v>
      </c>
      <c r="D558" s="27">
        <v>2005</v>
      </c>
    </row>
    <row r="559" spans="1:4" ht="12.75">
      <c r="A559" s="9" t="str">
        <f>HYPERLINK("https://www.youtube.com/watch?v=F7bKe_Zgk4o","Music Is Math")</f>
        <v>Music Is Math</v>
      </c>
      <c r="B559" s="8">
        <v>67</v>
      </c>
      <c r="C559" s="9" t="str">
        <f>HYPERLINK("https://en.wikipedia.org/wiki/Geogaddi","Geodaddi")</f>
        <v>Geodaddi</v>
      </c>
      <c r="D559" s="7">
        <v>2002</v>
      </c>
    </row>
    <row r="560" spans="1:4" ht="12.75">
      <c r="A560" s="38" t="str">
        <f>HYPERLINK("https://www.youtube.com/watch?v=dQEmaj9C6ko","Everything You Do Is a Balloon")</f>
        <v>Everything You Do Is a Balloon</v>
      </c>
      <c r="B560" s="28">
        <v>62</v>
      </c>
      <c r="C560" s="38" t="str">
        <f>HYPERLINK("https://en.wikipedia.org/wiki/Hi_Scores","Hi Scores")</f>
        <v>Hi Scores</v>
      </c>
      <c r="D560" s="27">
        <v>1996</v>
      </c>
    </row>
    <row r="561" spans="1:4" ht="12.75">
      <c r="A561" s="9" t="str">
        <f>HYPERLINK("https://www.youtube.com/watch?v=DI0u6OIhWSg","Chromakey Dreamcoat")</f>
        <v>Chromakey Dreamcoat</v>
      </c>
      <c r="B561" s="8">
        <v>59</v>
      </c>
      <c r="C561" s="9" t="str">
        <f>HYPERLINK("https://en.wikipedia.org/wiki/The_Campfire_Headphase","The Campfire Headphase")</f>
        <v>The Campfire Headphase</v>
      </c>
      <c r="D561" s="7">
        <v>2005</v>
      </c>
    </row>
    <row r="562" spans="1:4" ht="12.75">
      <c r="A562" s="29" t="str">
        <f>HYPERLINK("https://www.youtube.com/watch?v=PzDupYdobnU","Olson")</f>
        <v>Olson</v>
      </c>
      <c r="B562" s="28">
        <v>58</v>
      </c>
      <c r="C562" s="29" t="str">
        <f>HYPERLINK("https://en.wikipedia.org/wiki/Music_Has_the_Right_to_Children","Music Has the Right to Children")</f>
        <v>Music Has the Right to Children</v>
      </c>
      <c r="D562" s="27">
        <v>1998</v>
      </c>
    </row>
    <row r="563" spans="1:4" ht="12.75">
      <c r="A563" s="152"/>
      <c r="B563" s="153"/>
      <c r="C563" s="153"/>
      <c r="D563" s="154"/>
    </row>
    <row r="564" spans="1:4" ht="18">
      <c r="A564" s="22" t="str">
        <f>HYPERLINK("https://www.reddit.com/r/indieheads/comments/6idd4s/top_ten_tuesday_bob_dylan/","Bob Dylan")</f>
        <v>Bob Dylan</v>
      </c>
      <c r="B564" s="30">
        <v>42906</v>
      </c>
      <c r="C564" s="24"/>
      <c r="D564" s="25" t="s">
        <v>1</v>
      </c>
    </row>
    <row r="565" spans="1:4" ht="12.75">
      <c r="A565" s="26" t="s">
        <v>2</v>
      </c>
      <c r="B565" s="26" t="s">
        <v>3</v>
      </c>
      <c r="C565" s="26" t="s">
        <v>4</v>
      </c>
      <c r="D565" s="26" t="s">
        <v>5</v>
      </c>
    </row>
    <row r="566" spans="1:4" ht="12.75">
      <c r="A566" s="7" t="s">
        <v>496</v>
      </c>
      <c r="B566" s="8">
        <v>425</v>
      </c>
      <c r="C566" s="9" t="str">
        <f t="shared" ref="C566:C567" si="34">HYPERLINK("https://en.wikipedia.org/wiki/Highway_61_Revisited","Highway 61 Revisited")</f>
        <v>Highway 61 Revisited</v>
      </c>
      <c r="D566" s="7">
        <v>1965</v>
      </c>
    </row>
    <row r="567" spans="1:4" ht="12.75">
      <c r="A567" s="27" t="s">
        <v>497</v>
      </c>
      <c r="B567" s="28">
        <v>390</v>
      </c>
      <c r="C567" s="38" t="str">
        <f t="shared" si="34"/>
        <v>Highway 61 Revisited</v>
      </c>
      <c r="D567" s="27">
        <v>1965</v>
      </c>
    </row>
    <row r="568" spans="1:4" ht="12.75">
      <c r="A568" s="7" t="s">
        <v>3996</v>
      </c>
      <c r="B568" s="8">
        <v>339</v>
      </c>
      <c r="C568" s="9" t="str">
        <f>HYPERLINK("https://en.wikipedia.org/wiki/The_Freewheelin%27_Bob_Dylan","The Freewheelin' Bob Dylan")</f>
        <v>The Freewheelin' Bob Dylan</v>
      </c>
      <c r="D568" s="7">
        <v>1963</v>
      </c>
    </row>
    <row r="569" spans="1:4" ht="12.75">
      <c r="A569" s="27" t="s">
        <v>498</v>
      </c>
      <c r="B569" s="28">
        <v>326</v>
      </c>
      <c r="C569" s="38" t="str">
        <f>HYPERLINK("https://en.wikipedia.org/wiki/Blonde_on_Blonde","Blonde on Blonde")</f>
        <v>Blonde on Blonde</v>
      </c>
      <c r="D569" s="27">
        <v>1966</v>
      </c>
    </row>
    <row r="570" spans="1:4" ht="12.75">
      <c r="A570" s="7" t="s">
        <v>499</v>
      </c>
      <c r="B570" s="8">
        <v>271</v>
      </c>
      <c r="C570" s="9" t="str">
        <f>HYPERLINK("https://en.wikipedia.org/wiki/Blood_on_the_Tracks","Blood on the Tracks")</f>
        <v>Blood on the Tracks</v>
      </c>
      <c r="D570" s="7">
        <v>1975</v>
      </c>
    </row>
    <row r="571" spans="1:4" ht="12.75">
      <c r="A571" s="27" t="s">
        <v>500</v>
      </c>
      <c r="B571" s="28">
        <v>224</v>
      </c>
      <c r="C571" s="38" t="str">
        <f t="shared" ref="C571:C572" si="35">HYPERLINK("https://en.wikipedia.org/wiki/Bringing_It_All_Back_Home","Bringing It All Back Home")</f>
        <v>Bringing It All Back Home</v>
      </c>
      <c r="D571" s="27">
        <v>1965</v>
      </c>
    </row>
    <row r="572" spans="1:4" ht="12.75">
      <c r="A572" s="7" t="s">
        <v>501</v>
      </c>
      <c r="B572" s="8">
        <v>218</v>
      </c>
      <c r="C572" s="9" t="str">
        <f t="shared" si="35"/>
        <v>Bringing It All Back Home</v>
      </c>
      <c r="D572" s="7">
        <v>1965</v>
      </c>
    </row>
    <row r="573" spans="1:4" ht="12.75">
      <c r="A573" s="27" t="s">
        <v>502</v>
      </c>
      <c r="B573" s="28">
        <v>200</v>
      </c>
      <c r="C573" s="38" t="str">
        <f>HYPERLINK("https://en.wikipedia.org/wiki/Highway_61_Revisited","Highway 61 Revisited")</f>
        <v>Highway 61 Revisited</v>
      </c>
      <c r="D573" s="27">
        <v>1965</v>
      </c>
    </row>
    <row r="574" spans="1:4" ht="12.75">
      <c r="A574" s="7" t="s">
        <v>503</v>
      </c>
      <c r="B574" s="8">
        <v>191</v>
      </c>
      <c r="C574" s="9" t="str">
        <f>HYPERLINK("https://en.wikipedia.org/wiki/The_Freewheelin%27_Bob_Dylan","The Freewheelin' Bob Dylan")</f>
        <v>The Freewheelin' Bob Dylan</v>
      </c>
      <c r="D574" s="7">
        <v>1963</v>
      </c>
    </row>
    <row r="575" spans="1:4" ht="12.75">
      <c r="A575" s="27" t="s">
        <v>504</v>
      </c>
      <c r="B575" s="28">
        <v>163</v>
      </c>
      <c r="C575" s="29" t="str">
        <f>HYPERLINK("https://en.wikipedia.org/wiki/Blood_on_the_Tracks","Blood on the Tracks")</f>
        <v>Blood on the Tracks</v>
      </c>
      <c r="D575" s="27">
        <v>1975</v>
      </c>
    </row>
    <row r="576" spans="1:4" ht="12.75">
      <c r="A576" s="152"/>
      <c r="B576" s="153"/>
      <c r="C576" s="153"/>
      <c r="D576" s="154"/>
    </row>
    <row r="577" spans="1:4" ht="18">
      <c r="A577" s="22" t="str">
        <f>HYPERLINK("https://www.reddit.com/r/indieheads/comments/dlg4s5/top_ten_tuesday_bomb_the_music_industry/","Bomb the Music Industry!")</f>
        <v>Bomb the Music Industry!</v>
      </c>
      <c r="B577" s="43">
        <v>43760</v>
      </c>
      <c r="C577" s="24"/>
      <c r="D577" s="32" t="s">
        <v>1</v>
      </c>
    </row>
    <row r="578" spans="1:4" ht="12.75">
      <c r="A578" s="26" t="s">
        <v>2</v>
      </c>
      <c r="B578" s="34" t="s">
        <v>3</v>
      </c>
      <c r="C578" s="33" t="s">
        <v>4</v>
      </c>
      <c r="D578" s="26" t="s">
        <v>5</v>
      </c>
    </row>
    <row r="579" spans="1:4" ht="12.75">
      <c r="A579" s="7" t="s">
        <v>505</v>
      </c>
      <c r="B579" s="8">
        <v>92</v>
      </c>
      <c r="C579" s="9" t="str">
        <f>HYPERLINK("https://en.wikipedia.org/wiki/To_Leave_or_Die_in_Long_Island","To Leave or Die in Long Island")</f>
        <v>To Leave or Die in Long Island</v>
      </c>
      <c r="D579" s="7">
        <v>2005</v>
      </c>
    </row>
    <row r="580" spans="1:4" ht="12.75">
      <c r="A580" s="132" t="s">
        <v>3961</v>
      </c>
      <c r="B580" s="28">
        <v>70</v>
      </c>
      <c r="C580" s="29" t="str">
        <f>HYPERLINK("https://en.wikipedia.org/wiki/Vacation_(Bomb_the_Music_Industry!_album)","Vacation")</f>
        <v>Vacation</v>
      </c>
      <c r="D580" s="27">
        <v>2011</v>
      </c>
    </row>
    <row r="581" spans="1:4" ht="12.75">
      <c r="A581" s="7" t="s">
        <v>506</v>
      </c>
      <c r="B581" s="8">
        <v>69</v>
      </c>
      <c r="C581" s="9" t="str">
        <f>HYPERLINK("https://en.wikipedia.org/wiki/Scrambles_(album)","Scrambled")</f>
        <v>Scrambled</v>
      </c>
      <c r="D581" s="7">
        <v>2009</v>
      </c>
    </row>
    <row r="582" spans="1:4" ht="12.75">
      <c r="A582" s="132" t="s">
        <v>3962</v>
      </c>
      <c r="B582" s="28">
        <v>57</v>
      </c>
      <c r="C582" s="29" t="str">
        <f>HYPERLINK("https://en.wikipedia.org/wiki/Vacation_(Bomb_the_Music_Industry!_album)","Vacation")</f>
        <v>Vacation</v>
      </c>
      <c r="D582" s="27">
        <v>2011</v>
      </c>
    </row>
    <row r="583" spans="1:4" ht="12.75">
      <c r="A583" s="7" t="s">
        <v>507</v>
      </c>
      <c r="B583" s="8">
        <v>55</v>
      </c>
      <c r="C583" s="9" t="str">
        <f>HYPERLINK("https://en.wikipedia.org/wiki/Album_Minus_Band","Album Minus Band")</f>
        <v>Album Minus Band</v>
      </c>
      <c r="D583" s="7">
        <v>2005</v>
      </c>
    </row>
    <row r="584" spans="1:4" ht="12.75">
      <c r="A584" s="27" t="s">
        <v>508</v>
      </c>
      <c r="B584" s="28">
        <v>52</v>
      </c>
      <c r="C584" s="29" t="str">
        <f t="shared" ref="C584:C586" si="36">HYPERLINK("https://en.wikipedia.org/wiki/Vacation_(Bomb_the_Music_Industry!_album)","Vacation")</f>
        <v>Vacation</v>
      </c>
      <c r="D584" s="27">
        <v>2011</v>
      </c>
    </row>
    <row r="585" spans="1:4" ht="12.75">
      <c r="A585" s="7" t="s">
        <v>509</v>
      </c>
      <c r="B585" s="8">
        <v>52</v>
      </c>
      <c r="C585" s="9" t="str">
        <f t="shared" si="36"/>
        <v>Vacation</v>
      </c>
      <c r="D585" s="7">
        <v>2011</v>
      </c>
    </row>
    <row r="586" spans="1:4" ht="12.75">
      <c r="A586" s="27" t="s">
        <v>510</v>
      </c>
      <c r="B586" s="28">
        <v>45</v>
      </c>
      <c r="C586" s="29" t="str">
        <f t="shared" si="36"/>
        <v>Vacation</v>
      </c>
      <c r="D586" s="27">
        <v>2011</v>
      </c>
    </row>
    <row r="587" spans="1:4" ht="12.75">
      <c r="A587" s="7" t="s">
        <v>511</v>
      </c>
      <c r="B587" s="8">
        <v>43</v>
      </c>
      <c r="C587" s="9" t="str">
        <f>HYPERLINK("https://en.wikipedia.org/wiki/Adults!!!:_Smart!!!_Shithammered!!!_And_Excited_by_Nothing!!!!!!!","Adults!!!: Smart!!! Shithammered!!! And Excited by Nothing!!!")</f>
        <v>Adults!!!: Smart!!! Shithammered!!! And Excited by Nothing!!!</v>
      </c>
      <c r="D587" s="7">
        <v>2010</v>
      </c>
    </row>
    <row r="588" spans="1:4" ht="12.75">
      <c r="A588" s="27" t="s">
        <v>512</v>
      </c>
      <c r="B588" s="28">
        <v>40</v>
      </c>
      <c r="C588" s="29" t="str">
        <f>HYPERLINK("https://en.wikipedia.org/wiki/Vacation_(Bomb_the_Music_Industry!_album)","Vacation")</f>
        <v>Vacation</v>
      </c>
      <c r="D588" s="27">
        <v>2011</v>
      </c>
    </row>
    <row r="589" spans="1:4" ht="12.75">
      <c r="A589" s="152"/>
      <c r="B589" s="153"/>
      <c r="C589" s="153"/>
      <c r="D589" s="154"/>
    </row>
    <row r="590" spans="1:4" ht="18">
      <c r="A590" s="22" t="str">
        <f>HYPERLINK("https://www.reddit.com/r/indieheads/comments/7qt3je/top_ten_tuesday_bombay_bicycle_club/","Bombay Bicycle Club")</f>
        <v>Bombay Bicycle Club</v>
      </c>
      <c r="B590" s="30">
        <v>43116</v>
      </c>
      <c r="C590" s="24"/>
      <c r="D590" s="25" t="s">
        <v>1</v>
      </c>
    </row>
    <row r="591" spans="1:4" ht="12.75">
      <c r="A591" s="26" t="s">
        <v>2</v>
      </c>
      <c r="B591" s="26" t="s">
        <v>3</v>
      </c>
      <c r="C591" s="26" t="s">
        <v>4</v>
      </c>
      <c r="D591" s="26" t="s">
        <v>5</v>
      </c>
    </row>
    <row r="592" spans="1:4" ht="12.75">
      <c r="A592" s="7" t="s">
        <v>513</v>
      </c>
      <c r="B592" s="8">
        <v>208</v>
      </c>
      <c r="C592" s="9" t="str">
        <f>HYPERLINK("https://en.wikipedia.org/wiki/A_Different_Kind_of_Fix","A Different Kind of Fix")</f>
        <v>A Different Kind of Fix</v>
      </c>
      <c r="D592" s="7">
        <v>2011</v>
      </c>
    </row>
    <row r="593" spans="1:4" ht="12.75">
      <c r="A593" s="27" t="s">
        <v>514</v>
      </c>
      <c r="B593" s="28">
        <v>160</v>
      </c>
      <c r="C593" s="38" t="str">
        <f>HYPERLINK("https://en.wikipedia.org/wiki/I_Had_the_Blues_But_I_Shook_Them_Loose","I Had the Blues But I Shook Them Loose")</f>
        <v>I Had the Blues But I Shook Them Loose</v>
      </c>
      <c r="D593" s="27">
        <v>2009</v>
      </c>
    </row>
    <row r="594" spans="1:4" ht="12.75">
      <c r="A594" s="7" t="s">
        <v>515</v>
      </c>
      <c r="B594" s="8">
        <v>144</v>
      </c>
      <c r="C594" s="9" t="str">
        <f t="shared" ref="C594:C595" si="37">HYPERLINK("https://en.wikipedia.org/wiki/A_Different_Kind_of_Fix","A Different Kind of Fix")</f>
        <v>A Different Kind of Fix</v>
      </c>
      <c r="D594" s="7">
        <v>2011</v>
      </c>
    </row>
    <row r="595" spans="1:4" ht="12.75">
      <c r="A595" s="27" t="s">
        <v>516</v>
      </c>
      <c r="B595" s="28">
        <v>119</v>
      </c>
      <c r="C595" s="38" t="str">
        <f t="shared" si="37"/>
        <v>A Different Kind of Fix</v>
      </c>
      <c r="D595" s="27">
        <v>2011</v>
      </c>
    </row>
    <row r="596" spans="1:4" ht="12.75">
      <c r="A596" s="7" t="s">
        <v>517</v>
      </c>
      <c r="B596" s="8">
        <v>94</v>
      </c>
      <c r="C596" s="9" t="str">
        <f>HYPERLINK("https://en.wikipedia.org/wiki/I_Had_the_Blues_But_I_Shook_Them_Loose","I Had the Blues But I Shook Them Loose")</f>
        <v>I Had the Blues But I Shook Them Loose</v>
      </c>
      <c r="D596" s="7">
        <v>2009</v>
      </c>
    </row>
    <row r="597" spans="1:4" ht="12.75">
      <c r="A597" s="27" t="s">
        <v>518</v>
      </c>
      <c r="B597" s="28">
        <v>93</v>
      </c>
      <c r="C597" s="38" t="str">
        <f t="shared" ref="C597:C598" si="38">HYPERLINK("https://en.wikipedia.org/wiki/So_Long,_See_You_Tomorrow_(album)","So Long, See You Tomorrow")</f>
        <v>So Long, See You Tomorrow</v>
      </c>
      <c r="D597" s="27">
        <v>2014</v>
      </c>
    </row>
    <row r="598" spans="1:4" ht="12.75">
      <c r="A598" s="7" t="s">
        <v>519</v>
      </c>
      <c r="B598" s="8">
        <v>93</v>
      </c>
      <c r="C598" s="9" t="str">
        <f t="shared" si="38"/>
        <v>So Long, See You Tomorrow</v>
      </c>
      <c r="D598" s="7">
        <v>2014</v>
      </c>
    </row>
    <row r="599" spans="1:4" ht="12.75">
      <c r="A599" s="27" t="s">
        <v>520</v>
      </c>
      <c r="B599" s="28">
        <v>90</v>
      </c>
      <c r="C599" s="38" t="str">
        <f>HYPERLINK("https://en.wikipedia.org/wiki/A_Different_Kind_of_Fix","A Different Kind of Fix")</f>
        <v>A Different Kind of Fix</v>
      </c>
      <c r="D599" s="27">
        <v>2011</v>
      </c>
    </row>
    <row r="600" spans="1:4" ht="12.75">
      <c r="A600" s="7" t="s">
        <v>521</v>
      </c>
      <c r="B600" s="8">
        <v>85</v>
      </c>
      <c r="C600" s="9" t="str">
        <f t="shared" ref="C600:C601" si="39">HYPERLINK("https://en.wikipedia.org/wiki/So_Long,_See_You_Tomorrow_(album)","So Long, See You Tomorrow")</f>
        <v>So Long, See You Tomorrow</v>
      </c>
      <c r="D600" s="7">
        <v>2013</v>
      </c>
    </row>
    <row r="601" spans="1:4" ht="12.75">
      <c r="A601" s="27" t="s">
        <v>522</v>
      </c>
      <c r="B601" s="28">
        <v>79</v>
      </c>
      <c r="C601" s="29" t="str">
        <f t="shared" si="39"/>
        <v>So Long, See You Tomorrow</v>
      </c>
      <c r="D601" s="27">
        <v>2014</v>
      </c>
    </row>
    <row r="602" spans="1:4" ht="12.75">
      <c r="A602" s="152"/>
      <c r="B602" s="153"/>
      <c r="C602" s="153"/>
      <c r="D602" s="154"/>
    </row>
    <row r="603" spans="1:4" ht="18">
      <c r="A603" s="22" t="str">
        <f>HYPERLINK("https://www.reddit.com/r/indieheads/comments/6fld5o/top_ten_tuesday_bon_iver/","Bon Iver")</f>
        <v>Bon Iver</v>
      </c>
      <c r="B603" s="23">
        <v>42892</v>
      </c>
      <c r="C603" s="24"/>
      <c r="D603" s="25" t="s">
        <v>1</v>
      </c>
    </row>
    <row r="604" spans="1:4" ht="12.75">
      <c r="A604" s="26" t="s">
        <v>2</v>
      </c>
      <c r="B604" s="26" t="s">
        <v>3</v>
      </c>
      <c r="C604" s="26" t="s">
        <v>4</v>
      </c>
      <c r="D604" s="26" t="s">
        <v>5</v>
      </c>
    </row>
    <row r="605" spans="1:4" ht="12.75">
      <c r="A605" s="7" t="s">
        <v>523</v>
      </c>
      <c r="B605" s="8">
        <v>903</v>
      </c>
      <c r="C605" s="9" t="str">
        <f>HYPERLINK("http://en.wikipedia.org/wiki/Bon_Iver,_Bon_Iver","Bon Iver, Bon Iver")</f>
        <v>Bon Iver, Bon Iver</v>
      </c>
      <c r="D605" s="7">
        <v>2011</v>
      </c>
    </row>
    <row r="606" spans="1:4" ht="12.75">
      <c r="A606" s="27" t="s">
        <v>524</v>
      </c>
      <c r="B606" s="28">
        <v>732</v>
      </c>
      <c r="C606" s="38" t="str">
        <f t="shared" ref="C606:C607" si="40">HYPERLINK("http://en.wikipedia.org/wiki/For_Emma,_Forever_Ago","For Emma, Forever Ago")</f>
        <v>For Emma, Forever Ago</v>
      </c>
      <c r="D606" s="27">
        <v>2007</v>
      </c>
    </row>
    <row r="607" spans="1:4" ht="12.75">
      <c r="A607" s="7" t="s">
        <v>525</v>
      </c>
      <c r="B607" s="8">
        <v>614</v>
      </c>
      <c r="C607" s="9" t="str">
        <f t="shared" si="40"/>
        <v>For Emma, Forever Ago</v>
      </c>
      <c r="D607" s="7">
        <v>2007</v>
      </c>
    </row>
    <row r="608" spans="1:4" ht="12.75">
      <c r="A608" s="27" t="s">
        <v>526</v>
      </c>
      <c r="B608" s="28">
        <v>539</v>
      </c>
      <c r="C608" s="38" t="str">
        <f>HYPERLINK("http://en.wikipedia.org/wiki/Bon_Iver,_Bon_Iver","Bon Iver, Bon Iver")</f>
        <v>Bon Iver, Bon Iver</v>
      </c>
      <c r="D608" s="27">
        <v>2011</v>
      </c>
    </row>
    <row r="609" spans="1:4" ht="12.75">
      <c r="A609" s="7" t="s">
        <v>527</v>
      </c>
      <c r="B609" s="8">
        <v>523</v>
      </c>
      <c r="C609" s="9" t="str">
        <f t="shared" ref="C609:C610" si="41">HYPERLINK("http://en.wikipedia.org/wiki/For_Emma,_Forever_Ago","For Emma, Forever Ago")</f>
        <v>For Emma, Forever Ago</v>
      </c>
      <c r="D609" s="7">
        <v>2007</v>
      </c>
    </row>
    <row r="610" spans="1:4" ht="12.75">
      <c r="A610" s="10" t="s">
        <v>528</v>
      </c>
      <c r="B610" s="11">
        <v>514</v>
      </c>
      <c r="C610" s="12" t="str">
        <f t="shared" si="41"/>
        <v>For Emma, Forever Ago</v>
      </c>
      <c r="D610" s="10">
        <v>2007</v>
      </c>
    </row>
    <row r="611" spans="1:4" ht="12.75">
      <c r="A611" s="7" t="s">
        <v>529</v>
      </c>
      <c r="B611" s="8">
        <v>514</v>
      </c>
      <c r="C611" s="9" t="str">
        <f>HYPERLINK("https://en.wikipedia.org/wiki/22,_A_Million","22, A Million")</f>
        <v>22, A Million</v>
      </c>
      <c r="D611" s="7">
        <v>2016</v>
      </c>
    </row>
    <row r="612" spans="1:4" ht="12.75">
      <c r="A612" s="27" t="s">
        <v>530</v>
      </c>
      <c r="B612" s="28">
        <v>423</v>
      </c>
      <c r="C612" s="38" t="str">
        <f>HYPERLINK("https://en.wikipedia.org/wiki/Bon_Iver,_Bon_Iver","Bon Iver, Bon Iver")</f>
        <v>Bon Iver, Bon Iver</v>
      </c>
      <c r="D612" s="27">
        <v>2011</v>
      </c>
    </row>
    <row r="613" spans="1:4" ht="12.75">
      <c r="A613" s="7" t="s">
        <v>531</v>
      </c>
      <c r="B613" s="8">
        <v>405</v>
      </c>
      <c r="C613" s="9" t="str">
        <f>HYPERLINK("https://en.wikipedia.org/wiki/22,_A_Million","22, A Million")</f>
        <v>22, A Million</v>
      </c>
      <c r="D613" s="7">
        <v>2016</v>
      </c>
    </row>
    <row r="614" spans="1:4" ht="12.75">
      <c r="A614" s="10" t="s">
        <v>532</v>
      </c>
      <c r="B614" s="11">
        <v>401</v>
      </c>
      <c r="C614" s="12" t="str">
        <f>HYPERLINK("http://en.wikipedia.org/wiki/For_Emma,_Forever_Ago","For Emma, Forever Ago")</f>
        <v>For Emma, Forever Ago</v>
      </c>
      <c r="D614" s="10">
        <v>2007</v>
      </c>
    </row>
    <row r="615" spans="1:4" ht="12.75">
      <c r="A615" s="152"/>
      <c r="B615" s="153"/>
      <c r="C615" s="153"/>
      <c r="D615" s="154"/>
    </row>
    <row r="616" spans="1:4" ht="18">
      <c r="A616" s="22" t="str">
        <f>HYPERLINK("https://www.reddit.com/r/indieheads/comments/4ajrd7/top_ten_tuesday_brand_new/","Brand New")</f>
        <v>Brand New</v>
      </c>
      <c r="B616" s="23">
        <v>42444</v>
      </c>
      <c r="C616" s="24"/>
      <c r="D616" s="59" t="s">
        <v>1</v>
      </c>
    </row>
    <row r="617" spans="1:4" ht="12.75">
      <c r="A617" s="26" t="s">
        <v>2</v>
      </c>
      <c r="B617" s="26" t="s">
        <v>3</v>
      </c>
      <c r="C617" s="26" t="s">
        <v>4</v>
      </c>
      <c r="D617" s="26" t="s">
        <v>5</v>
      </c>
    </row>
    <row r="618" spans="1:4" ht="12.75">
      <c r="A618" s="9" t="str">
        <f>HYPERLINK("https://www.youtube.com/watch?v=cjPyvoLXPs4","Jesus Christ")</f>
        <v>Jesus Christ</v>
      </c>
      <c r="B618" s="8">
        <v>442</v>
      </c>
      <c r="C618" s="9" t="str">
        <f t="shared" ref="C618:C622" si="42">HYPERLINK("https://en.wikipedia.org/wiki/The_Devil_and_God_Are_Raging_Inside_Me","The Devil and God Are Raging Inside Me")</f>
        <v>The Devil and God Are Raging Inside Me</v>
      </c>
      <c r="D618" s="7">
        <v>2006</v>
      </c>
    </row>
    <row r="619" spans="1:4" ht="12.75">
      <c r="A619" s="134" t="s">
        <v>3963</v>
      </c>
      <c r="B619" s="28">
        <v>366</v>
      </c>
      <c r="C619" s="38" t="str">
        <f t="shared" si="42"/>
        <v>The Devil and God Are Raging Inside Me</v>
      </c>
      <c r="D619" s="27">
        <v>2006</v>
      </c>
    </row>
    <row r="620" spans="1:4" ht="12.75">
      <c r="A620" s="9" t="str">
        <f>HYPERLINK("https://www.youtube.com/watch?v=NDrTEoHVYMk","Degausser")</f>
        <v>Degausser</v>
      </c>
      <c r="B620" s="8">
        <v>342</v>
      </c>
      <c r="C620" s="9" t="str">
        <f t="shared" si="42"/>
        <v>The Devil and God Are Raging Inside Me</v>
      </c>
      <c r="D620" s="7">
        <v>2006</v>
      </c>
    </row>
    <row r="621" spans="1:4" ht="12.75">
      <c r="A621" s="38" t="str">
        <f>HYPERLINK("https://www.youtube.com/watch?v=u5mm8ex8Vd4","You Won't Know")</f>
        <v>You Won't Know</v>
      </c>
      <c r="B621" s="28">
        <v>287</v>
      </c>
      <c r="C621" s="38" t="str">
        <f t="shared" si="42"/>
        <v>The Devil and God Are Raging Inside Me</v>
      </c>
      <c r="D621" s="27">
        <v>2006</v>
      </c>
    </row>
    <row r="622" spans="1:4" ht="12.75">
      <c r="A622" s="9" t="str">
        <f>HYPERLINK("https://www.youtube.com/watch?v=fSX13jgRxI4","Sowing Season (Yeah)")</f>
        <v>Sowing Season (Yeah)</v>
      </c>
      <c r="B622" s="8">
        <v>279</v>
      </c>
      <c r="C622" s="9" t="str">
        <f t="shared" si="42"/>
        <v>The Devil and God Are Raging Inside Me</v>
      </c>
      <c r="D622" s="7">
        <v>2006</v>
      </c>
    </row>
    <row r="623" spans="1:4" ht="12.75">
      <c r="A623" s="38" t="str">
        <f>HYPERLINK("https://www.youtube.com/watch?v=Dwn0z_Bm8HQ","Okay I Believe You, But My Tommy Gun Don't")</f>
        <v>Okay I Believe You, But My Tommy Gun Don't</v>
      </c>
      <c r="B623" s="28">
        <v>223</v>
      </c>
      <c r="C623" s="38" t="str">
        <f t="shared" ref="C623:C627" si="43">HYPERLINK("https://en.wikipedia.org/wiki/Deja_Entendu","Deja Entendu")</f>
        <v>Deja Entendu</v>
      </c>
      <c r="D623" s="27">
        <v>2003</v>
      </c>
    </row>
    <row r="624" spans="1:4" ht="12.75">
      <c r="A624" s="9" t="str">
        <f>HYPERLINK("https://www.youtube.com/watch?v=e2RY26wQkc8","The Boy Who Blocked His Own Shot")</f>
        <v>The Boy Who Blocked His Own Shot</v>
      </c>
      <c r="B624" s="8">
        <v>169</v>
      </c>
      <c r="C624" s="9" t="str">
        <f t="shared" si="43"/>
        <v>Deja Entendu</v>
      </c>
      <c r="D624" s="7">
        <v>2003</v>
      </c>
    </row>
    <row r="625" spans="1:4" ht="12.75">
      <c r="A625" s="38" t="str">
        <f>HYPERLINK("https://www.youtube.com/watch?v=my1vudMv1Ao","Sic Transit Gloria... Glory Fades")</f>
        <v>Sic Transit Gloria... Glory Fades</v>
      </c>
      <c r="B625" s="28">
        <v>160</v>
      </c>
      <c r="C625" s="38" t="str">
        <f t="shared" si="43"/>
        <v>Deja Entendu</v>
      </c>
      <c r="D625" s="27">
        <v>2003</v>
      </c>
    </row>
    <row r="626" spans="1:4" ht="12.75">
      <c r="A626" s="9" t="str">
        <f>HYPERLINK("https://www.youtube.com/watch?v=RD9PuTOVSh4","The Quiet Things That No One Ever Knows")</f>
        <v>The Quiet Things That No One Ever Knows</v>
      </c>
      <c r="B626" s="8">
        <v>153</v>
      </c>
      <c r="C626" s="9" t="str">
        <f t="shared" si="43"/>
        <v>Deja Entendu</v>
      </c>
      <c r="D626" s="7">
        <v>2003</v>
      </c>
    </row>
    <row r="627" spans="1:4" ht="12.75">
      <c r="A627" s="29" t="str">
        <f>HYPERLINK("https://www.youtube.com/watch?v=6A9W0qymZuc","Play Crack the Sky")</f>
        <v>Play Crack the Sky</v>
      </c>
      <c r="B627" s="28">
        <v>151</v>
      </c>
      <c r="C627" s="29" t="str">
        <f t="shared" si="43"/>
        <v>Deja Entendu</v>
      </c>
      <c r="D627" s="27">
        <v>2003</v>
      </c>
    </row>
    <row r="628" spans="1:4" ht="12.75">
      <c r="A628" s="152"/>
      <c r="B628" s="153"/>
      <c r="C628" s="153"/>
      <c r="D628" s="154"/>
    </row>
    <row r="629" spans="1:4" ht="18">
      <c r="A629" s="22" t="str">
        <f>HYPERLINK("https://www.reddit.com/r/indieheads/comments/5kkrfw/top_ten_tuesday_brian_eno/","Brian Eno")</f>
        <v>Brian Eno</v>
      </c>
      <c r="B629" s="43">
        <v>42731</v>
      </c>
      <c r="C629" s="24"/>
      <c r="D629" s="59" t="s">
        <v>1</v>
      </c>
    </row>
    <row r="630" spans="1:4" ht="12.75">
      <c r="A630" s="26" t="s">
        <v>2</v>
      </c>
      <c r="B630" s="26" t="s">
        <v>3</v>
      </c>
      <c r="C630" s="26" t="s">
        <v>4</v>
      </c>
      <c r="D630" s="26" t="s">
        <v>5</v>
      </c>
    </row>
    <row r="631" spans="1:4" ht="12.75">
      <c r="A631" s="7" t="s">
        <v>533</v>
      </c>
      <c r="B631" s="8">
        <v>130</v>
      </c>
      <c r="C631" s="9" t="str">
        <f t="shared" ref="C631:C632" si="44">HYPERLINK("https://en.wikipedia.org/wiki/Another_Green_World","Another Green World")</f>
        <v>Another Green World</v>
      </c>
      <c r="D631" s="7">
        <v>1975</v>
      </c>
    </row>
    <row r="632" spans="1:4" ht="12.75">
      <c r="A632" s="27" t="s">
        <v>534</v>
      </c>
      <c r="B632" s="28">
        <v>113</v>
      </c>
      <c r="C632" s="38" t="str">
        <f t="shared" si="44"/>
        <v>Another Green World</v>
      </c>
      <c r="D632" s="27">
        <v>1975</v>
      </c>
    </row>
    <row r="633" spans="1:4" ht="12.75">
      <c r="A633" s="135" t="s">
        <v>3964</v>
      </c>
      <c r="B633" s="8">
        <v>109</v>
      </c>
      <c r="C633" s="9" t="str">
        <f>HYPERLINK("https://en.wikipedia.org/wiki/Ambient_1:_Music_for_Airports","Ambient 1: Music for Airports")</f>
        <v>Ambient 1: Music for Airports</v>
      </c>
      <c r="D633" s="7">
        <v>1978</v>
      </c>
    </row>
    <row r="634" spans="1:4" ht="12.75">
      <c r="A634" s="27" t="s">
        <v>535</v>
      </c>
      <c r="B634" s="28">
        <v>92</v>
      </c>
      <c r="C634" s="38" t="str">
        <f t="shared" ref="C634:C635" si="45">HYPERLINK("https://en.wikipedia.org/wiki/Here_Come_the_Warm_Jets","Here Come the Warm Jets")</f>
        <v>Here Come the Warm Jets</v>
      </c>
      <c r="D634" s="27">
        <v>1974</v>
      </c>
    </row>
    <row r="635" spans="1:4" ht="12.75">
      <c r="A635" s="7" t="s">
        <v>536</v>
      </c>
      <c r="B635" s="8">
        <v>72</v>
      </c>
      <c r="C635" s="9" t="str">
        <f t="shared" si="45"/>
        <v>Here Come the Warm Jets</v>
      </c>
      <c r="D635" s="7">
        <v>1974</v>
      </c>
    </row>
    <row r="636" spans="1:4" ht="12.75">
      <c r="A636" s="27" t="s">
        <v>537</v>
      </c>
      <c r="B636" s="28">
        <v>65</v>
      </c>
      <c r="C636" s="38" t="str">
        <f t="shared" ref="C636:C637" si="46">HYPERLINK("https://en.wikipedia.org/wiki/Another_Green_World","Another Green World")</f>
        <v>Another Green World</v>
      </c>
      <c r="D636" s="27">
        <v>1975</v>
      </c>
    </row>
    <row r="637" spans="1:4" ht="12.75">
      <c r="A637" s="7" t="s">
        <v>538</v>
      </c>
      <c r="B637" s="8">
        <v>62</v>
      </c>
      <c r="C637" s="9" t="str">
        <f t="shared" si="46"/>
        <v>Another Green World</v>
      </c>
      <c r="D637" s="7">
        <v>1975</v>
      </c>
    </row>
    <row r="638" spans="1:4" ht="12.75">
      <c r="A638" s="27" t="s">
        <v>539</v>
      </c>
      <c r="B638" s="28">
        <v>56</v>
      </c>
      <c r="C638" s="38" t="str">
        <f>HYPERLINK("https://en.wikipedia.org/wiki/Here_Come_the_Warm_Jets","Here Come the Warm Jets")</f>
        <v>Here Come the Warm Jets</v>
      </c>
      <c r="D638" s="27">
        <v>1973</v>
      </c>
    </row>
    <row r="639" spans="1:4" ht="12.75">
      <c r="A639" s="7" t="s">
        <v>540</v>
      </c>
      <c r="B639" s="8">
        <v>55</v>
      </c>
      <c r="C639" s="9" t="str">
        <f>HYPERLINK("https://en.wikipedia.org/wiki/Apollo:_Atmospheres_and_Soundtracks","Apollo: Atmospheres and Soundtracks")</f>
        <v>Apollo: Atmospheres and Soundtracks</v>
      </c>
      <c r="D639" s="7">
        <v>1983</v>
      </c>
    </row>
    <row r="640" spans="1:4" ht="12.75">
      <c r="A640" s="27" t="s">
        <v>541</v>
      </c>
      <c r="B640" s="28">
        <v>47</v>
      </c>
      <c r="C640" s="29" t="str">
        <f>HYPERLINK("https://en.wikipedia.org/wiki/Before_and_After_Science","Before and After Science")</f>
        <v>Before and After Science</v>
      </c>
      <c r="D640" s="27">
        <v>1977</v>
      </c>
    </row>
    <row r="641" spans="1:4" ht="12.75">
      <c r="A641" s="152"/>
      <c r="B641" s="153"/>
      <c r="C641" s="153"/>
      <c r="D641" s="154"/>
    </row>
    <row r="642" spans="1:4" ht="18">
      <c r="A642" s="22" t="s">
        <v>542</v>
      </c>
      <c r="B642" s="43">
        <v>44530</v>
      </c>
      <c r="C642" s="24"/>
      <c r="D642" s="32" t="s">
        <v>1</v>
      </c>
    </row>
    <row r="643" spans="1:4" ht="12.75">
      <c r="A643" s="26" t="s">
        <v>2</v>
      </c>
      <c r="B643" s="34" t="s">
        <v>3</v>
      </c>
      <c r="C643" s="26" t="s">
        <v>4</v>
      </c>
      <c r="D643" s="26" t="s">
        <v>5</v>
      </c>
    </row>
    <row r="644" spans="1:4" ht="12.75">
      <c r="A644" s="7" t="s">
        <v>543</v>
      </c>
      <c r="B644" s="8">
        <v>73</v>
      </c>
      <c r="C644" s="9" t="s">
        <v>544</v>
      </c>
      <c r="D644" s="7">
        <v>1996</v>
      </c>
    </row>
    <row r="645" spans="1:4" ht="12.75">
      <c r="A645" s="27" t="s">
        <v>545</v>
      </c>
      <c r="B645" s="28">
        <v>44</v>
      </c>
      <c r="C645" s="29" t="s">
        <v>546</v>
      </c>
      <c r="D645" s="27">
        <v>2015</v>
      </c>
    </row>
    <row r="646" spans="1:4" ht="12.75">
      <c r="A646" s="7" t="s">
        <v>547</v>
      </c>
      <c r="B646" s="8">
        <v>35</v>
      </c>
      <c r="C646" s="9" t="s">
        <v>548</v>
      </c>
      <c r="D646" s="7">
        <v>1996</v>
      </c>
    </row>
    <row r="647" spans="1:4" ht="12.75">
      <c r="A647" s="27" t="s">
        <v>549</v>
      </c>
      <c r="B647" s="28">
        <v>34</v>
      </c>
      <c r="C647" s="27"/>
      <c r="D647" s="27">
        <v>2016</v>
      </c>
    </row>
    <row r="648" spans="1:4" ht="12.75">
      <c r="A648" s="7" t="s">
        <v>550</v>
      </c>
      <c r="B648" s="8">
        <v>31</v>
      </c>
      <c r="C648" s="9" t="s">
        <v>551</v>
      </c>
      <c r="D648" s="7">
        <v>1997</v>
      </c>
    </row>
    <row r="649" spans="1:4" ht="12.75">
      <c r="A649" s="60" t="s">
        <v>552</v>
      </c>
      <c r="B649" s="28">
        <v>28</v>
      </c>
      <c r="C649" s="12" t="s">
        <v>553</v>
      </c>
      <c r="D649" s="10">
        <v>2014</v>
      </c>
    </row>
    <row r="650" spans="1:4" ht="12.75">
      <c r="A650" s="7" t="s">
        <v>554</v>
      </c>
      <c r="B650" s="8">
        <v>28</v>
      </c>
      <c r="C650" s="9" t="s">
        <v>555</v>
      </c>
      <c r="D650" s="7">
        <v>1995</v>
      </c>
    </row>
    <row r="651" spans="1:4" ht="12.75">
      <c r="A651" s="10" t="s">
        <v>556</v>
      </c>
      <c r="B651" s="11">
        <v>25</v>
      </c>
      <c r="C651" s="12" t="s">
        <v>555</v>
      </c>
      <c r="D651" s="10">
        <v>1995</v>
      </c>
    </row>
    <row r="652" spans="1:4" ht="12.75">
      <c r="A652" s="7" t="s">
        <v>557</v>
      </c>
      <c r="B652" s="8">
        <v>23</v>
      </c>
      <c r="C652" s="9" t="s">
        <v>548</v>
      </c>
      <c r="D652" s="7">
        <v>1996</v>
      </c>
    </row>
    <row r="653" spans="1:4" ht="12.75">
      <c r="A653" s="10" t="s">
        <v>558</v>
      </c>
      <c r="B653" s="11">
        <v>22</v>
      </c>
      <c r="C653" s="12" t="s">
        <v>559</v>
      </c>
      <c r="D653" s="10">
        <v>1996</v>
      </c>
    </row>
    <row r="654" spans="1:4" ht="12.75">
      <c r="A654" s="152"/>
      <c r="B654" s="153"/>
      <c r="C654" s="153"/>
      <c r="D654" s="154"/>
    </row>
    <row r="655" spans="1:4" ht="18">
      <c r="A655" s="22" t="str">
        <f>HYPERLINK("https://www.reddit.com/r/indieheads/comments/3xvqfb/top_ten_tuesday_bright_eyes/","Bright Eyes")</f>
        <v>Bright Eyes</v>
      </c>
      <c r="B655" s="23">
        <v>42360</v>
      </c>
      <c r="C655" s="24"/>
      <c r="D655" s="59" t="s">
        <v>1</v>
      </c>
    </row>
    <row r="656" spans="1:4" ht="12.75">
      <c r="A656" s="26" t="s">
        <v>2</v>
      </c>
      <c r="B656" s="26" t="s">
        <v>3</v>
      </c>
      <c r="C656" s="26" t="s">
        <v>4</v>
      </c>
      <c r="D656" s="26" t="s">
        <v>5</v>
      </c>
    </row>
    <row r="657" spans="1:4" ht="12.75">
      <c r="A657" s="9" t="str">
        <f>HYPERLINK("https://www.youtube.com/watch?v=pDWKSie5gLo","Let's Not Shit Ourselves (To Love and to Be Loved)")</f>
        <v>Let's Not Shit Ourselves (To Love and to Be Loved)</v>
      </c>
      <c r="B657" s="8">
        <v>110</v>
      </c>
      <c r="C657" s="9" t="str">
        <f>HYPERLINK("https://en.wikipedia.org/wiki/Lifted_or_The_Story_is_in_the_Soil,_Keep_Your_Ear_to_the_Ground","Lifted or The Story is in the Soil, Keep Your Ear to the Ground")</f>
        <v>Lifted or The Story is in the Soil, Keep Your Ear to the Ground</v>
      </c>
      <c r="D657" s="7">
        <v>2002</v>
      </c>
    </row>
    <row r="658" spans="1:4" ht="12.75">
      <c r="A658" s="38" t="str">
        <f>HYPERLINK("https://www.youtube.com/watch?v=TSBs-hiapo4","Lua")</f>
        <v>Lua</v>
      </c>
      <c r="B658" s="28">
        <v>105</v>
      </c>
      <c r="C658" s="38" t="str">
        <f t="shared" ref="C658:C661" si="47">HYPERLINK("https://en.wikipedia.org/wiki/I%27m_Wide_Awake,_It%27s_Morning","I'm Wide Awake, It's Morning")</f>
        <v>I'm Wide Awake, It's Morning</v>
      </c>
      <c r="D658" s="27">
        <v>2004</v>
      </c>
    </row>
    <row r="659" spans="1:4" ht="12.75">
      <c r="A659" s="9" t="str">
        <f>HYPERLINK("https://www.youtube.com/watch?v=54Z2zfr1mrI","Poison Oak")</f>
        <v>Poison Oak</v>
      </c>
      <c r="B659" s="8">
        <v>102</v>
      </c>
      <c r="C659" s="9" t="str">
        <f t="shared" si="47"/>
        <v>I'm Wide Awake, It's Morning</v>
      </c>
      <c r="D659" s="7">
        <v>2005</v>
      </c>
    </row>
    <row r="660" spans="1:4" ht="12.75">
      <c r="A660" s="38" t="str">
        <f>HYPERLINK("https://www.youtube.com/watch?v=Me85PztkYP0","Land Locked Blues")</f>
        <v>Land Locked Blues</v>
      </c>
      <c r="B660" s="28">
        <v>100</v>
      </c>
      <c r="C660" s="38" t="str">
        <f t="shared" si="47"/>
        <v>I'm Wide Awake, It's Morning</v>
      </c>
      <c r="D660" s="27">
        <v>2005</v>
      </c>
    </row>
    <row r="661" spans="1:4" ht="12.75">
      <c r="A661" s="9" t="str">
        <f>HYPERLINK("https://www.youtube.com/watch?v=zwFS69nA-1w","First Day of My Life")</f>
        <v>First Day of My Life</v>
      </c>
      <c r="B661" s="8">
        <v>90</v>
      </c>
      <c r="C661" s="9" t="str">
        <f t="shared" si="47"/>
        <v>I'm Wide Awake, It's Morning</v>
      </c>
      <c r="D661" s="7">
        <v>2005</v>
      </c>
    </row>
    <row r="662" spans="1:4" ht="12.75">
      <c r="A662" s="38" t="str">
        <f>HYPERLINK("https://www.youtube.com/watch?v=HmiRWwAXexY","Bowl of Oranges")</f>
        <v>Bowl of Oranges</v>
      </c>
      <c r="B662" s="28">
        <v>80</v>
      </c>
      <c r="C662" s="38" t="str">
        <f>HYPERLINK("https://en.wikipedia.org/wiki/Lifted_or_The_Story_is_in_the_Soil,_Keep_Your_Ear_to_the_Ground","Lifted or The Story is in the Soil, Keep Your Ear to the Ground")</f>
        <v>Lifted or The Story is in the Soil, Keep Your Ear to the Ground</v>
      </c>
      <c r="D662" s="27">
        <v>2002</v>
      </c>
    </row>
    <row r="663" spans="1:4" ht="12.75">
      <c r="A663" s="9" t="str">
        <f>HYPERLINK("https://www.youtube.com/watch?v=2GHyLhbdzN0","At the Bottom of Everything")</f>
        <v>At the Bottom of Everything</v>
      </c>
      <c r="B663" s="8">
        <v>66</v>
      </c>
      <c r="C663" s="9" t="str">
        <f t="shared" ref="C663:C664" si="48">HYPERLINK("https://en.wikipedia.org/wiki/I%27m_Wide_Awake,_It%27s_Morning","I'm Wide Awake, It's Morning")</f>
        <v>I'm Wide Awake, It's Morning</v>
      </c>
      <c r="D663" s="7">
        <v>2005</v>
      </c>
    </row>
    <row r="664" spans="1:4" ht="12.75">
      <c r="A664" s="38" t="str">
        <f>HYPERLINK("https://www.youtube.com/watch?v=37r9aqTxhBQ","Road to Joy")</f>
        <v>Road to Joy</v>
      </c>
      <c r="B664" s="28">
        <v>60</v>
      </c>
      <c r="C664" s="38" t="str">
        <f t="shared" si="48"/>
        <v>I'm Wide Awake, It's Morning</v>
      </c>
      <c r="D664" s="27">
        <v>2005</v>
      </c>
    </row>
    <row r="665" spans="1:4" ht="12.75">
      <c r="A665" s="9" t="str">
        <f>HYPERLINK("https://www.youtube.com/watch?v=F8DBoIgsYF0","You Will. You? Will. You? Will. You? Will.")</f>
        <v>You Will. You? Will. You? Will. You? Will.</v>
      </c>
      <c r="B665" s="8">
        <v>58</v>
      </c>
      <c r="C665" s="9" t="str">
        <f t="shared" ref="C665:C666" si="49">HYPERLINK("https://en.wikipedia.org/wiki/Lifted_or_The_Story_is_in_the_Soil,_Keep_Your_Ear_to_the_Ground","Lifted or The Story is in the Soil, Keep Your Ear to the Ground")</f>
        <v>Lifted or The Story is in the Soil, Keep Your Ear to the Ground</v>
      </c>
      <c r="D665" s="7">
        <v>2002</v>
      </c>
    </row>
    <row r="666" spans="1:4" ht="12.75">
      <c r="A666" s="29" t="s">
        <v>560</v>
      </c>
      <c r="B666" s="28">
        <v>47</v>
      </c>
      <c r="C666" s="38" t="str">
        <f t="shared" si="49"/>
        <v>Lifted or The Story is in the Soil, Keep Your Ear to the Ground</v>
      </c>
      <c r="D666" s="27">
        <v>2002</v>
      </c>
    </row>
    <row r="667" spans="1:4" ht="12.75">
      <c r="A667" s="152"/>
      <c r="B667" s="153"/>
      <c r="C667" s="153"/>
      <c r="D667" s="154"/>
    </row>
    <row r="668" spans="1:4" ht="18">
      <c r="A668" s="22" t="s">
        <v>561</v>
      </c>
      <c r="B668" s="30">
        <v>43963</v>
      </c>
      <c r="C668" s="24"/>
      <c r="D668" s="32" t="s">
        <v>1</v>
      </c>
    </row>
    <row r="669" spans="1:4" ht="12.75">
      <c r="A669" s="33" t="s">
        <v>2</v>
      </c>
      <c r="B669" s="26" t="s">
        <v>3</v>
      </c>
      <c r="C669" s="33" t="s">
        <v>4</v>
      </c>
      <c r="D669" s="26" t="s">
        <v>5</v>
      </c>
    </row>
    <row r="670" spans="1:4" ht="12.75">
      <c r="A670" s="19" t="s">
        <v>562</v>
      </c>
      <c r="B670" s="8">
        <v>175</v>
      </c>
      <c r="C670" s="9" t="s">
        <v>563</v>
      </c>
      <c r="D670" s="7">
        <v>2000</v>
      </c>
    </row>
    <row r="671" spans="1:4" ht="12.75">
      <c r="A671" s="35" t="s">
        <v>564</v>
      </c>
      <c r="B671" s="28">
        <v>126</v>
      </c>
      <c r="C671" s="29" t="s">
        <v>565</v>
      </c>
      <c r="D671" s="27">
        <v>2005</v>
      </c>
    </row>
    <row r="672" spans="1:4" ht="12.75">
      <c r="A672" s="19" t="s">
        <v>566</v>
      </c>
      <c r="B672" s="8">
        <v>107</v>
      </c>
      <c r="C672" s="9" t="s">
        <v>565</v>
      </c>
      <c r="D672" s="7">
        <v>2005</v>
      </c>
    </row>
    <row r="673" spans="1:4" ht="12.75">
      <c r="A673" s="35" t="s">
        <v>567</v>
      </c>
      <c r="B673" s="28">
        <v>106</v>
      </c>
      <c r="C673" s="29" t="s">
        <v>568</v>
      </c>
      <c r="D673" s="27">
        <v>2003</v>
      </c>
    </row>
    <row r="674" spans="1:4" ht="12.75">
      <c r="A674" s="19" t="s">
        <v>569</v>
      </c>
      <c r="B674" s="8">
        <v>103</v>
      </c>
      <c r="C674" s="9" t="s">
        <v>565</v>
      </c>
      <c r="D674" s="7">
        <v>2005</v>
      </c>
    </row>
    <row r="675" spans="1:4" ht="12.75">
      <c r="A675" s="35" t="s">
        <v>570</v>
      </c>
      <c r="B675" s="28">
        <v>102</v>
      </c>
      <c r="C675" s="29" t="s">
        <v>568</v>
      </c>
      <c r="D675" s="27">
        <v>2003</v>
      </c>
    </row>
    <row r="676" spans="1:4" ht="12.75">
      <c r="A676" s="19" t="s">
        <v>571</v>
      </c>
      <c r="B676" s="8">
        <v>98</v>
      </c>
      <c r="C676" s="9" t="s">
        <v>565</v>
      </c>
      <c r="D676" s="7">
        <v>2005</v>
      </c>
    </row>
    <row r="677" spans="1:4" ht="12.75">
      <c r="A677" s="35" t="s">
        <v>572</v>
      </c>
      <c r="B677" s="28">
        <v>91</v>
      </c>
      <c r="C677" s="29" t="s">
        <v>565</v>
      </c>
      <c r="D677" s="27">
        <v>2005</v>
      </c>
    </row>
    <row r="678" spans="1:4" ht="12.75">
      <c r="A678" s="19" t="s">
        <v>573</v>
      </c>
      <c r="B678" s="8">
        <v>70</v>
      </c>
      <c r="C678" s="9" t="s">
        <v>565</v>
      </c>
      <c r="D678" s="7">
        <v>2005</v>
      </c>
    </row>
    <row r="679" spans="1:4" ht="12.75">
      <c r="A679" s="35" t="s">
        <v>574</v>
      </c>
      <c r="B679" s="28">
        <v>65</v>
      </c>
      <c r="C679" s="29" t="s">
        <v>563</v>
      </c>
      <c r="D679" s="27">
        <v>2000</v>
      </c>
    </row>
    <row r="680" spans="1:4" ht="12.75">
      <c r="A680" s="152"/>
      <c r="B680" s="153"/>
      <c r="C680" s="153"/>
      <c r="D680" s="154"/>
    </row>
    <row r="681" spans="1:4" ht="18">
      <c r="A681" s="22" t="s">
        <v>575</v>
      </c>
      <c r="B681" s="30">
        <v>44432</v>
      </c>
      <c r="C681" s="31"/>
      <c r="D681" s="32" t="s">
        <v>1</v>
      </c>
    </row>
    <row r="682" spans="1:4" ht="12.75">
      <c r="A682" s="26" t="s">
        <v>2</v>
      </c>
      <c r="B682" s="26" t="s">
        <v>3</v>
      </c>
      <c r="C682" s="26" t="s">
        <v>4</v>
      </c>
      <c r="D682" s="26" t="s">
        <v>5</v>
      </c>
    </row>
    <row r="683" spans="1:4" ht="12.75">
      <c r="A683" s="7" t="s">
        <v>576</v>
      </c>
      <c r="B683" s="8">
        <v>153</v>
      </c>
      <c r="C683" s="9" t="s">
        <v>577</v>
      </c>
      <c r="D683" s="7">
        <v>2017</v>
      </c>
    </row>
    <row r="684" spans="1:4" ht="12.75">
      <c r="A684" s="27" t="s">
        <v>578</v>
      </c>
      <c r="B684" s="28">
        <v>150</v>
      </c>
      <c r="C684" s="29" t="s">
        <v>577</v>
      </c>
      <c r="D684" s="27">
        <v>3027</v>
      </c>
    </row>
    <row r="685" spans="1:4" ht="12.75">
      <c r="A685" s="7" t="s">
        <v>579</v>
      </c>
      <c r="B685" s="8">
        <v>149</v>
      </c>
      <c r="C685" s="9" t="s">
        <v>577</v>
      </c>
      <c r="D685" s="7">
        <v>3027</v>
      </c>
    </row>
    <row r="686" spans="1:4" ht="12.75">
      <c r="A686" s="27" t="s">
        <v>580</v>
      </c>
      <c r="B686" s="28">
        <v>135</v>
      </c>
      <c r="C686" s="29" t="s">
        <v>581</v>
      </c>
      <c r="D686" s="27">
        <v>2017</v>
      </c>
    </row>
    <row r="687" spans="1:4" ht="12.75">
      <c r="A687" s="7" t="s">
        <v>582</v>
      </c>
      <c r="B687" s="8">
        <v>129</v>
      </c>
      <c r="C687" s="9" t="s">
        <v>581</v>
      </c>
      <c r="D687" s="7">
        <v>2017</v>
      </c>
    </row>
    <row r="688" spans="1:4" ht="12.75">
      <c r="A688" s="27" t="s">
        <v>583</v>
      </c>
      <c r="B688" s="28">
        <v>123</v>
      </c>
      <c r="C688" s="29" t="s">
        <v>584</v>
      </c>
      <c r="D688" s="27">
        <v>2017</v>
      </c>
    </row>
    <row r="689" spans="1:4" ht="12.75">
      <c r="A689" s="7" t="s">
        <v>585</v>
      </c>
      <c r="B689" s="8">
        <v>118</v>
      </c>
      <c r="C689" s="9" t="s">
        <v>577</v>
      </c>
      <c r="D689" s="7">
        <v>2017</v>
      </c>
    </row>
    <row r="690" spans="1:4" ht="12.75">
      <c r="A690" s="27" t="s">
        <v>586</v>
      </c>
      <c r="B690" s="28">
        <v>107</v>
      </c>
      <c r="C690" s="29" t="s">
        <v>584</v>
      </c>
      <c r="D690" s="27">
        <v>2017</v>
      </c>
    </row>
    <row r="691" spans="1:4" ht="12.75">
      <c r="A691" s="7" t="s">
        <v>587</v>
      </c>
      <c r="B691" s="8">
        <v>105</v>
      </c>
      <c r="C691" s="9" t="s">
        <v>584</v>
      </c>
      <c r="D691" s="7">
        <v>2017</v>
      </c>
    </row>
    <row r="692" spans="1:4" ht="12.75">
      <c r="A692" s="27" t="s">
        <v>588</v>
      </c>
      <c r="B692" s="28">
        <v>77</v>
      </c>
      <c r="C692" s="29" t="s">
        <v>581</v>
      </c>
      <c r="D692" s="27">
        <v>2017</v>
      </c>
    </row>
    <row r="693" spans="1:4" ht="12.75">
      <c r="A693" s="152"/>
      <c r="B693" s="153"/>
      <c r="C693" s="153"/>
      <c r="D693" s="154"/>
    </row>
    <row r="694" spans="1:4" ht="18">
      <c r="A694" s="22" t="str">
        <f>HYPERLINK("https://old.reddit.com/r/indieheads/comments/8i19k1/top_ten_tuesday_broken_social_scene/","Broken Social Scene")</f>
        <v>Broken Social Scene</v>
      </c>
      <c r="B694" s="23">
        <v>43234</v>
      </c>
      <c r="C694" s="24"/>
      <c r="D694" s="59" t="s">
        <v>1</v>
      </c>
    </row>
    <row r="695" spans="1:4" ht="12.75">
      <c r="A695" s="26" t="s">
        <v>2</v>
      </c>
      <c r="B695" s="26" t="s">
        <v>3</v>
      </c>
      <c r="C695" s="26" t="s">
        <v>4</v>
      </c>
      <c r="D695" s="26" t="s">
        <v>5</v>
      </c>
    </row>
    <row r="696" spans="1:4" ht="12.75">
      <c r="A696" s="7" t="s">
        <v>589</v>
      </c>
      <c r="B696" s="8">
        <v>239</v>
      </c>
      <c r="C696" s="9" t="str">
        <f>HYPERLINK("http://en.wikipedia.org/wiki/You_Forgot_It_in_People","You Forgot It in People")</f>
        <v>You Forgot It in People</v>
      </c>
      <c r="D696" s="7">
        <v>2002</v>
      </c>
    </row>
    <row r="697" spans="1:4" ht="12.75">
      <c r="A697" s="10" t="s">
        <v>590</v>
      </c>
      <c r="B697" s="11">
        <v>232</v>
      </c>
      <c r="C697" s="12" t="str">
        <f>HYPERLINK("http://en.wikipedia.org/wiki/Broken_Social_Scene_(album)","Broken Social Scene")</f>
        <v>Broken Social Scene</v>
      </c>
      <c r="D697" s="10">
        <v>2005</v>
      </c>
    </row>
    <row r="698" spans="1:4" ht="12.75">
      <c r="A698" s="7" t="s">
        <v>591</v>
      </c>
      <c r="B698" s="8">
        <v>224</v>
      </c>
      <c r="C698" s="9" t="str">
        <f>HYPERLINK("http://en.wikipedia.org/wiki/You_Forgot_It_in_People","You Forgot It in People")</f>
        <v>You Forgot It in People</v>
      </c>
      <c r="D698" s="7">
        <v>2002</v>
      </c>
    </row>
    <row r="699" spans="1:4" ht="12.75">
      <c r="A699" s="27" t="s">
        <v>592</v>
      </c>
      <c r="B699" s="28">
        <v>199</v>
      </c>
      <c r="C699" s="38" t="str">
        <f>HYPERLINK("http://en.wikipedia.org/wiki/Broken_Social_Scene_(album)","Broken Social Scene")</f>
        <v>Broken Social Scene</v>
      </c>
      <c r="D699" s="27">
        <v>2005</v>
      </c>
    </row>
    <row r="700" spans="1:4" ht="12.75">
      <c r="A700" s="7" t="s">
        <v>593</v>
      </c>
      <c r="B700" s="8">
        <v>199</v>
      </c>
      <c r="C700" s="9" t="str">
        <f t="shared" ref="C700:C703" si="50">HYPERLINK("http://en.wikipedia.org/wiki/You_Forgot_It_in_People","You Forgot It in People")</f>
        <v>You Forgot It in People</v>
      </c>
      <c r="D700" s="7">
        <v>2002</v>
      </c>
    </row>
    <row r="701" spans="1:4" ht="12.75">
      <c r="A701" s="10" t="s">
        <v>594</v>
      </c>
      <c r="B701" s="11">
        <v>138</v>
      </c>
      <c r="C701" s="12" t="str">
        <f t="shared" si="50"/>
        <v>You Forgot It in People</v>
      </c>
      <c r="D701" s="10">
        <v>2002</v>
      </c>
    </row>
    <row r="702" spans="1:4" ht="12.75">
      <c r="A702" s="7" t="s">
        <v>595</v>
      </c>
      <c r="B702" s="8">
        <v>137</v>
      </c>
      <c r="C702" s="9" t="str">
        <f t="shared" si="50"/>
        <v>You Forgot It in People</v>
      </c>
      <c r="D702" s="7">
        <v>2002</v>
      </c>
    </row>
    <row r="703" spans="1:4" ht="12.75">
      <c r="A703" s="10" t="s">
        <v>596</v>
      </c>
      <c r="B703" s="11">
        <v>112</v>
      </c>
      <c r="C703" s="12" t="str">
        <f t="shared" si="50"/>
        <v>You Forgot It in People</v>
      </c>
      <c r="D703" s="10">
        <v>2002</v>
      </c>
    </row>
    <row r="704" spans="1:4" ht="12.75">
      <c r="A704" s="7" t="s">
        <v>597</v>
      </c>
      <c r="B704" s="8">
        <v>111</v>
      </c>
      <c r="C704" s="9" t="str">
        <f t="shared" ref="C704:C705" si="51">HYPERLINK("https://en.wikipedia.org/wiki/Broken_Social_Scene_(album)","Broken Social Scene")</f>
        <v>Broken Social Scene</v>
      </c>
      <c r="D704" s="7">
        <v>2005</v>
      </c>
    </row>
    <row r="705" spans="1:4" ht="12.75">
      <c r="A705" s="10" t="s">
        <v>598</v>
      </c>
      <c r="B705" s="11">
        <v>88</v>
      </c>
      <c r="C705" s="12" t="str">
        <f t="shared" si="51"/>
        <v>Broken Social Scene</v>
      </c>
      <c r="D705" s="10">
        <v>2005</v>
      </c>
    </row>
    <row r="706" spans="1:4" ht="12.75">
      <c r="A706" s="152"/>
      <c r="B706" s="153"/>
      <c r="C706" s="153"/>
      <c r="D706" s="154"/>
    </row>
    <row r="707" spans="1:4" ht="18">
      <c r="A707" s="22" t="str">
        <f>HYPERLINK("https://www.reddit.com/r/indieheads/comments/6mljhz/top_ten_tuesday_bruce_springsteen/","Bruce Springsteen")</f>
        <v>Bruce Springsteen</v>
      </c>
      <c r="B707" s="30">
        <v>42927</v>
      </c>
      <c r="C707" s="24"/>
      <c r="D707" s="59" t="s">
        <v>1</v>
      </c>
    </row>
    <row r="708" spans="1:4" ht="12.75">
      <c r="A708" s="26" t="s">
        <v>2</v>
      </c>
      <c r="B708" s="26" t="s">
        <v>3</v>
      </c>
      <c r="C708" s="26" t="s">
        <v>4</v>
      </c>
      <c r="D708" s="26" t="s">
        <v>5</v>
      </c>
    </row>
    <row r="709" spans="1:4" ht="12.75">
      <c r="A709" s="7" t="s">
        <v>599</v>
      </c>
      <c r="B709" s="8">
        <v>476</v>
      </c>
      <c r="C709" s="9" t="str">
        <f t="shared" ref="C709:C711" si="52">HYPERLINK("https://en.wikipedia.org/wiki/Born_to_Run","Born to Run")</f>
        <v>Born to Run</v>
      </c>
      <c r="D709" s="7">
        <v>1975</v>
      </c>
    </row>
    <row r="710" spans="1:4" ht="12.75">
      <c r="A710" s="27" t="s">
        <v>600</v>
      </c>
      <c r="B710" s="28">
        <v>369</v>
      </c>
      <c r="C710" s="38" t="str">
        <f t="shared" si="52"/>
        <v>Born to Run</v>
      </c>
      <c r="D710" s="27">
        <v>1975</v>
      </c>
    </row>
    <row r="711" spans="1:4" ht="12.75">
      <c r="A711" s="7" t="s">
        <v>601</v>
      </c>
      <c r="B711" s="8">
        <v>341</v>
      </c>
      <c r="C711" s="9" t="str">
        <f t="shared" si="52"/>
        <v>Born to Run</v>
      </c>
      <c r="D711" s="7">
        <v>1975</v>
      </c>
    </row>
    <row r="712" spans="1:4" ht="12.75">
      <c r="A712" s="27" t="s">
        <v>602</v>
      </c>
      <c r="B712" s="28">
        <v>290</v>
      </c>
      <c r="C712" s="38" t="str">
        <f>HYPERLINK("https://en.wikipedia.org/wiki/Nebraska_(album)","Nebraska")</f>
        <v>Nebraska</v>
      </c>
      <c r="D712" s="27">
        <v>1982</v>
      </c>
    </row>
    <row r="713" spans="1:4" ht="12.75">
      <c r="A713" s="7" t="s">
        <v>603</v>
      </c>
      <c r="B713" s="8">
        <v>209</v>
      </c>
      <c r="C713" s="9" t="str">
        <f>HYPERLINK("https://en.wikipedia.org/wiki/Born_to_Run","Born to Run")</f>
        <v>Born to Run</v>
      </c>
      <c r="D713" s="7">
        <v>1975</v>
      </c>
    </row>
    <row r="714" spans="1:4" ht="12.75">
      <c r="A714" s="27" t="s">
        <v>604</v>
      </c>
      <c r="B714" s="28">
        <v>199</v>
      </c>
      <c r="C714" s="38" t="str">
        <f>HYPERLINK("https://en.wikipedia.org/wiki/The_River_(Bruce_Springsteen_album)","The River")</f>
        <v>The River</v>
      </c>
      <c r="D714" s="27">
        <v>1980</v>
      </c>
    </row>
    <row r="715" spans="1:4" ht="12.75">
      <c r="A715" s="7" t="s">
        <v>605</v>
      </c>
      <c r="B715" s="8">
        <v>186</v>
      </c>
      <c r="C715" s="9" t="str">
        <f t="shared" ref="C715:C716" si="53">HYPERLINK("https://en.wikipedia.org/wiki/Darkness_on_the_Edge_of_Town","Darkness on the Edge of Town")</f>
        <v>Darkness on the Edge of Town</v>
      </c>
      <c r="D715" s="7">
        <v>1978</v>
      </c>
    </row>
    <row r="716" spans="1:4" ht="12.75">
      <c r="A716" s="132" t="s">
        <v>3965</v>
      </c>
      <c r="B716" s="28">
        <v>150</v>
      </c>
      <c r="C716" s="38" t="str">
        <f t="shared" si="53"/>
        <v>Darkness on the Edge of Town</v>
      </c>
      <c r="D716" s="27">
        <v>1978</v>
      </c>
    </row>
    <row r="717" spans="1:4" ht="12.75">
      <c r="A717" s="7" t="s">
        <v>606</v>
      </c>
      <c r="B717" s="8">
        <v>144</v>
      </c>
      <c r="C717" s="9" t="str">
        <f>HYPERLINK("https://en.wikipedia.org/wiki/Born_in_the_U.S.A.","Born in the U.S.A.")</f>
        <v>Born in the U.S.A.</v>
      </c>
      <c r="D717" s="7">
        <v>1984</v>
      </c>
    </row>
    <row r="718" spans="1:4" ht="12.75">
      <c r="A718" s="27" t="s">
        <v>607</v>
      </c>
      <c r="B718" s="28">
        <v>137</v>
      </c>
      <c r="C718" s="29" t="str">
        <f>HYPERLINK("https://en.wikipedia.org/wiki/The_Wild,_the_Innocent_%26_the_E_Street_Shuffle","The Wild, the Innocent, &amp; the E Street Shuffle")</f>
        <v>The Wild, the Innocent, &amp; the E Street Shuffle</v>
      </c>
      <c r="D718" s="27">
        <v>1973</v>
      </c>
    </row>
    <row r="719" spans="1:4" ht="12.75">
      <c r="A719" s="152"/>
      <c r="B719" s="153"/>
      <c r="C719" s="153"/>
      <c r="D719" s="154"/>
    </row>
    <row r="720" spans="1:4" ht="18">
      <c r="A720" s="22" t="str">
        <f>HYPERLINK("http://www.reddit.com/r/indieheads/comments/33e5lw/top_ten_tuesday_built_to_spill/","Built to Spill")</f>
        <v>Built to Spill</v>
      </c>
      <c r="B720" s="23">
        <v>42115</v>
      </c>
      <c r="C720" s="24"/>
      <c r="D720" s="32" t="s">
        <v>1</v>
      </c>
    </row>
    <row r="721" spans="1:4" ht="12.75">
      <c r="A721" s="26" t="s">
        <v>2</v>
      </c>
      <c r="B721" s="26" t="s">
        <v>3</v>
      </c>
      <c r="C721" s="26" t="s">
        <v>4</v>
      </c>
      <c r="D721" s="26" t="s">
        <v>5</v>
      </c>
    </row>
    <row r="722" spans="1:4" ht="12.75">
      <c r="A722" s="61" t="str">
        <f>HYPERLINK("https://www.youtube.com/watch?v=3-f7zsW7EV4","Carry the Zero")</f>
        <v>Carry the Zero</v>
      </c>
      <c r="B722" s="8">
        <v>122</v>
      </c>
      <c r="C722" s="9" t="str">
        <f>HYPERLINK("http://en.wikipedia.org/wiki/Keep_It_Like_a_Secret","Keep It Like a Secret")</f>
        <v>Keep It Like a Secret</v>
      </c>
      <c r="D722" s="7">
        <v>1999</v>
      </c>
    </row>
    <row r="723" spans="1:4" ht="12.75">
      <c r="A723" s="46" t="str">
        <f>HYPERLINK("https://www.youtube.com/watch?v=6omZ5GsuGrI","Car")</f>
        <v>Car</v>
      </c>
      <c r="B723" s="28">
        <v>101</v>
      </c>
      <c r="C723" s="38" t="str">
        <f>HYPERLINK("http://en.wikipedia.org/wiki/There%27s_Nothing_Wrong_with_Love","There's Nothing Wrong with Love")</f>
        <v>There's Nothing Wrong with Love</v>
      </c>
      <c r="D723" s="27">
        <v>1994</v>
      </c>
    </row>
    <row r="724" spans="1:4" ht="12.75">
      <c r="A724" s="61" t="str">
        <f>HYPERLINK("https://www.youtube.com/watch?v=Kb1RlzyWHm4","Randy Described Eternity")</f>
        <v>Randy Described Eternity</v>
      </c>
      <c r="B724" s="8">
        <v>96</v>
      </c>
      <c r="C724" s="9" t="str">
        <f t="shared" ref="C724:C726" si="54">HYPERLINK("http://en.wikipedia.org/wiki/Perfect_from_Now_On","Perfect from Now On")</f>
        <v>Perfect from Now On</v>
      </c>
      <c r="D724" s="7">
        <v>1997</v>
      </c>
    </row>
    <row r="725" spans="1:4" ht="12.75">
      <c r="A725" s="46" t="str">
        <f>HYPERLINK("https://www.youtube.com/watch?v=TRlt3zaolqA","Velvet Waltz")</f>
        <v>Velvet Waltz</v>
      </c>
      <c r="B725" s="28">
        <v>74</v>
      </c>
      <c r="C725" s="38" t="str">
        <f t="shared" si="54"/>
        <v>Perfect from Now On</v>
      </c>
      <c r="D725" s="27">
        <v>1997</v>
      </c>
    </row>
    <row r="726" spans="1:4" ht="12.75">
      <c r="A726" s="61" t="str">
        <f>HYPERLINK("https://www.youtube.com/watch?v=6hvBQnrOPII","I Would Hurt a Fly")</f>
        <v>I Would Hurt a Fly</v>
      </c>
      <c r="B726" s="8">
        <v>61</v>
      </c>
      <c r="C726" s="9" t="str">
        <f t="shared" si="54"/>
        <v>Perfect from Now On</v>
      </c>
      <c r="D726" s="7">
        <v>1997</v>
      </c>
    </row>
    <row r="727" spans="1:4" ht="12.75">
      <c r="A727" s="46" t="str">
        <f>HYPERLINK("https://www.youtube.com/watch?v=cH9EJg4o9-s","Goin' Against Your Mind")</f>
        <v>Goin' Against Your Mind</v>
      </c>
      <c r="B727" s="28">
        <v>52</v>
      </c>
      <c r="C727" s="38" t="str">
        <f>HYPERLINK("http://en.wikipedia.org/wiki/You_in_Reverse","You in Reverse")</f>
        <v>You in Reverse</v>
      </c>
      <c r="D727" s="27">
        <v>2006</v>
      </c>
    </row>
    <row r="728" spans="1:4" ht="12.75">
      <c r="A728" s="61" t="str">
        <f>HYPERLINK("https://www.youtube.com/watch?v=1F9amPUZokg","Time Trap")</f>
        <v>Time Trap</v>
      </c>
      <c r="B728" s="8">
        <v>45</v>
      </c>
      <c r="C728" s="9" t="str">
        <f t="shared" ref="C728:C730" si="55">HYPERLINK("http://en.wikipedia.org/wiki/Keep_It_Like_a_Secret","Keep It Like a Secret")</f>
        <v>Keep It Like a Secret</v>
      </c>
      <c r="D728" s="7">
        <v>1999</v>
      </c>
    </row>
    <row r="729" spans="1:4" ht="12.75">
      <c r="A729" s="46" t="str">
        <f>HYPERLINK("https://www.youtube.com/watch?v=5MjBMhlMq3s","The Plan")</f>
        <v>The Plan</v>
      </c>
      <c r="B729" s="28">
        <v>43</v>
      </c>
      <c r="C729" s="38" t="str">
        <f t="shared" si="55"/>
        <v>Keep It Like a Secret</v>
      </c>
      <c r="D729" s="27">
        <v>1999</v>
      </c>
    </row>
    <row r="730" spans="1:4" ht="12.75">
      <c r="A730" s="61" t="str">
        <f>HYPERLINK("https://www.youtube.com/watch?v=BQR_w0m99bQ","Else")</f>
        <v>Else</v>
      </c>
      <c r="B730" s="8">
        <v>41</v>
      </c>
      <c r="C730" s="9" t="str">
        <f t="shared" si="55"/>
        <v>Keep It Like a Secret</v>
      </c>
      <c r="D730" s="7">
        <v>1999</v>
      </c>
    </row>
    <row r="731" spans="1:4" ht="12.75">
      <c r="A731" s="46" t="str">
        <f>HYPERLINK("https://www.youtube.com/watch?v=sD4Vt-lL-9M","Kicked It in the Sun")</f>
        <v>Kicked It in the Sun</v>
      </c>
      <c r="B731" s="28">
        <v>36</v>
      </c>
      <c r="C731" s="29" t="str">
        <f>HYPERLINK("http://en.wikipedia.org/wiki/Perfect_from_Now_On","Perfect from Now On")</f>
        <v>Perfect from Now On</v>
      </c>
      <c r="D731" s="27">
        <v>1997</v>
      </c>
    </row>
    <row r="732" spans="1:4" ht="12.75">
      <c r="A732" s="152"/>
      <c r="B732" s="153"/>
      <c r="C732" s="153"/>
      <c r="D732" s="154"/>
    </row>
    <row r="733" spans="1:4" ht="18">
      <c r="A733" s="22" t="s">
        <v>608</v>
      </c>
      <c r="B733" s="43">
        <v>44649</v>
      </c>
      <c r="C733" s="24"/>
      <c r="D733" s="32" t="s">
        <v>1</v>
      </c>
    </row>
    <row r="734" spans="1:4" ht="12.75">
      <c r="A734" s="26" t="s">
        <v>2</v>
      </c>
      <c r="B734" s="26" t="s">
        <v>3</v>
      </c>
      <c r="C734" s="26" t="s">
        <v>4</v>
      </c>
      <c r="D734" s="26" t="s">
        <v>5</v>
      </c>
    </row>
    <row r="735" spans="1:4" ht="12.75">
      <c r="A735" s="7" t="s">
        <v>609</v>
      </c>
      <c r="B735" s="8">
        <v>130</v>
      </c>
      <c r="C735" s="9" t="s">
        <v>610</v>
      </c>
      <c r="D735" s="7">
        <v>2006</v>
      </c>
    </row>
    <row r="736" spans="1:4" ht="12.75">
      <c r="A736" s="27" t="s">
        <v>611</v>
      </c>
      <c r="B736" s="28">
        <v>107</v>
      </c>
      <c r="C736" s="29" t="s">
        <v>612</v>
      </c>
      <c r="D736" s="27">
        <v>2012</v>
      </c>
    </row>
    <row r="737" spans="1:4" ht="12.75">
      <c r="A737" s="7" t="s">
        <v>613</v>
      </c>
      <c r="B737" s="8">
        <v>102</v>
      </c>
      <c r="C737" s="9" t="s">
        <v>614</v>
      </c>
      <c r="D737" s="7">
        <v>2013</v>
      </c>
    </row>
    <row r="738" spans="1:4" ht="12.75">
      <c r="A738" s="27" t="s">
        <v>615</v>
      </c>
      <c r="B738" s="28">
        <v>78</v>
      </c>
      <c r="C738" s="29" t="s">
        <v>612</v>
      </c>
      <c r="D738" s="27">
        <v>2012</v>
      </c>
    </row>
    <row r="739" spans="1:4" ht="12.75">
      <c r="A739" s="7" t="s">
        <v>616</v>
      </c>
      <c r="B739" s="8">
        <v>75</v>
      </c>
      <c r="C739" s="7"/>
      <c r="D739" s="7">
        <v>2009</v>
      </c>
    </row>
    <row r="740" spans="1:4" ht="12.75">
      <c r="A740" s="27" t="s">
        <v>617</v>
      </c>
      <c r="B740" s="28">
        <v>67</v>
      </c>
      <c r="C740" s="29" t="s">
        <v>612</v>
      </c>
      <c r="D740" s="27">
        <v>2012</v>
      </c>
    </row>
    <row r="741" spans="1:4" ht="12.75">
      <c r="A741" s="7" t="s">
        <v>618</v>
      </c>
      <c r="B741" s="8">
        <v>60</v>
      </c>
      <c r="C741" s="9" t="s">
        <v>614</v>
      </c>
      <c r="D741" s="7">
        <v>2013</v>
      </c>
    </row>
    <row r="742" spans="1:4" ht="12.75">
      <c r="A742" s="27" t="s">
        <v>619</v>
      </c>
      <c r="B742" s="28">
        <v>58</v>
      </c>
      <c r="C742" s="29" t="s">
        <v>610</v>
      </c>
      <c r="D742" s="27">
        <v>2006</v>
      </c>
    </row>
    <row r="743" spans="1:4" ht="12.75">
      <c r="A743" s="7" t="s">
        <v>620</v>
      </c>
      <c r="B743" s="8">
        <v>58</v>
      </c>
      <c r="C743" s="9" t="s">
        <v>621</v>
      </c>
      <c r="D743" s="7">
        <v>2011</v>
      </c>
    </row>
    <row r="744" spans="1:4" ht="12.75">
      <c r="A744" s="27" t="s">
        <v>610</v>
      </c>
      <c r="B744" s="28">
        <v>56</v>
      </c>
      <c r="C744" s="29" t="s">
        <v>610</v>
      </c>
      <c r="D744" s="27">
        <v>2006</v>
      </c>
    </row>
    <row r="745" spans="1:4" ht="12.75">
      <c r="A745" s="155"/>
      <c r="B745" s="156"/>
      <c r="C745" s="156"/>
      <c r="D745" s="156"/>
    </row>
    <row r="746" spans="1:4" ht="18">
      <c r="A746" s="13" t="s">
        <v>622</v>
      </c>
      <c r="B746" s="14">
        <v>44978</v>
      </c>
      <c r="C746" s="15"/>
      <c r="D746" s="15"/>
    </row>
    <row r="747" spans="1:4" ht="12.75">
      <c r="A747" s="15" t="s">
        <v>2</v>
      </c>
      <c r="B747" s="15" t="s">
        <v>3</v>
      </c>
      <c r="C747" s="15" t="s">
        <v>4</v>
      </c>
      <c r="D747" s="15" t="s">
        <v>5</v>
      </c>
    </row>
    <row r="748" spans="1:4" ht="12.75">
      <c r="A748" s="16" t="s">
        <v>623</v>
      </c>
      <c r="B748" s="16">
        <v>77</v>
      </c>
      <c r="C748" s="16" t="s">
        <v>624</v>
      </c>
      <c r="D748" s="16">
        <v>1966</v>
      </c>
    </row>
    <row r="749" spans="1:4" ht="12.75">
      <c r="A749" s="17" t="s">
        <v>625</v>
      </c>
      <c r="B749" s="17">
        <v>47</v>
      </c>
      <c r="C749" s="17" t="s">
        <v>500</v>
      </c>
      <c r="D749" s="17">
        <v>1965</v>
      </c>
    </row>
    <row r="750" spans="1:4" ht="12.75">
      <c r="A750" s="16" t="s">
        <v>626</v>
      </c>
      <c r="B750" s="16">
        <v>43</v>
      </c>
      <c r="C750" s="16" t="s">
        <v>624</v>
      </c>
      <c r="D750" s="16">
        <v>1966</v>
      </c>
    </row>
    <row r="751" spans="1:4" ht="12.75">
      <c r="A751" s="17" t="s">
        <v>627</v>
      </c>
      <c r="B751" s="17">
        <v>40</v>
      </c>
      <c r="C751" s="17" t="s">
        <v>628</v>
      </c>
      <c r="D751" s="17">
        <v>1968</v>
      </c>
    </row>
    <row r="752" spans="1:4" ht="12.75">
      <c r="A752" s="16" t="s">
        <v>500</v>
      </c>
      <c r="B752" s="16">
        <v>38</v>
      </c>
      <c r="C752" s="16" t="s">
        <v>500</v>
      </c>
      <c r="D752" s="16">
        <v>1965</v>
      </c>
    </row>
    <row r="753" spans="1:4" ht="12.75">
      <c r="A753" s="17" t="s">
        <v>629</v>
      </c>
      <c r="B753" s="17">
        <v>36</v>
      </c>
      <c r="C753" s="17" t="s">
        <v>630</v>
      </c>
      <c r="D753" s="17">
        <v>1965</v>
      </c>
    </row>
    <row r="754" spans="1:4" ht="12.75">
      <c r="A754" s="16" t="s">
        <v>631</v>
      </c>
      <c r="B754" s="16">
        <v>34</v>
      </c>
      <c r="C754" s="16" t="s">
        <v>632</v>
      </c>
      <c r="D754" s="16">
        <v>1967</v>
      </c>
    </row>
    <row r="755" spans="1:4" ht="12.75">
      <c r="A755" s="17" t="s">
        <v>633</v>
      </c>
      <c r="B755" s="17">
        <v>33</v>
      </c>
      <c r="C755" s="17" t="s">
        <v>632</v>
      </c>
      <c r="D755" s="17">
        <v>1967</v>
      </c>
    </row>
    <row r="756" spans="1:4" ht="12.75">
      <c r="A756" s="16" t="s">
        <v>634</v>
      </c>
      <c r="B756" s="16">
        <v>29</v>
      </c>
      <c r="C756" s="16" t="s">
        <v>632</v>
      </c>
      <c r="D756" s="16">
        <v>1967</v>
      </c>
    </row>
    <row r="757" spans="1:4" ht="12.75">
      <c r="A757" s="17" t="s">
        <v>635</v>
      </c>
      <c r="B757" s="17">
        <v>23</v>
      </c>
      <c r="C757" s="17" t="s">
        <v>628</v>
      </c>
      <c r="D757" s="17">
        <v>1968</v>
      </c>
    </row>
    <row r="758" spans="1:4" ht="12.75">
      <c r="A758" s="155"/>
      <c r="B758" s="156"/>
      <c r="C758" s="156"/>
      <c r="D758" s="156"/>
    </row>
  </sheetData>
  <mergeCells count="59">
    <mergeCell ref="A589:D589"/>
    <mergeCell ref="A602:D602"/>
    <mergeCell ref="A615:D615"/>
    <mergeCell ref="A628:D628"/>
    <mergeCell ref="A524:D524"/>
    <mergeCell ref="A537:D537"/>
    <mergeCell ref="A550:D550"/>
    <mergeCell ref="A563:D563"/>
    <mergeCell ref="A576:D576"/>
    <mergeCell ref="A459:D459"/>
    <mergeCell ref="A472:D472"/>
    <mergeCell ref="A485:D485"/>
    <mergeCell ref="A498:D498"/>
    <mergeCell ref="A511:D511"/>
    <mergeCell ref="A391:D391"/>
    <mergeCell ref="A404:D404"/>
    <mergeCell ref="A417:D417"/>
    <mergeCell ref="A430:D430"/>
    <mergeCell ref="A443:D443"/>
    <mergeCell ref="A326:D326"/>
    <mergeCell ref="A339:D339"/>
    <mergeCell ref="A352:D352"/>
    <mergeCell ref="A365:D365"/>
    <mergeCell ref="A378:D378"/>
    <mergeCell ref="A261:D261"/>
    <mergeCell ref="A274:D274"/>
    <mergeCell ref="A287:D287"/>
    <mergeCell ref="A300:D300"/>
    <mergeCell ref="A313:D313"/>
    <mergeCell ref="A196:D196"/>
    <mergeCell ref="A209:D209"/>
    <mergeCell ref="A222:D222"/>
    <mergeCell ref="A235:D235"/>
    <mergeCell ref="A248:D248"/>
    <mergeCell ref="A131:D131"/>
    <mergeCell ref="A144:D144"/>
    <mergeCell ref="A157:D157"/>
    <mergeCell ref="A170:D170"/>
    <mergeCell ref="A183:D183"/>
    <mergeCell ref="A66:D66"/>
    <mergeCell ref="A79:D79"/>
    <mergeCell ref="A92:D92"/>
    <mergeCell ref="A105:D105"/>
    <mergeCell ref="A118:D118"/>
    <mergeCell ref="A1:D1"/>
    <mergeCell ref="A14:D14"/>
    <mergeCell ref="A27:D27"/>
    <mergeCell ref="A40:D40"/>
    <mergeCell ref="A53:D53"/>
    <mergeCell ref="A732:D732"/>
    <mergeCell ref="A745:D745"/>
    <mergeCell ref="A758:D758"/>
    <mergeCell ref="A641:D641"/>
    <mergeCell ref="A654:D654"/>
    <mergeCell ref="A667:D667"/>
    <mergeCell ref="A680:D680"/>
    <mergeCell ref="A693:D693"/>
    <mergeCell ref="A706:D706"/>
    <mergeCell ref="A719:D719"/>
  </mergeCells>
  <hyperlinks>
    <hyperlink ref="A2" r:id="rId1" xr:uid="{00000000-0004-0000-0000-000000000000}"/>
    <hyperlink ref="D2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A15" r:id="rId13" xr:uid="{00000000-0004-0000-0000-00000C000000}"/>
    <hyperlink ref="A28" r:id="rId14" xr:uid="{00000000-0004-0000-0000-00000D000000}"/>
    <hyperlink ref="D41" r:id="rId15" xr:uid="{00000000-0004-0000-0000-00000E000000}"/>
    <hyperlink ref="D54" r:id="rId16" xr:uid="{00000000-0004-0000-0000-00000F000000}"/>
    <hyperlink ref="A67" r:id="rId17" xr:uid="{00000000-0004-0000-0000-000010000000}"/>
    <hyperlink ref="D67" r:id="rId18" xr:uid="{00000000-0004-0000-0000-000011000000}"/>
    <hyperlink ref="C69" r:id="rId19" xr:uid="{00000000-0004-0000-0000-000012000000}"/>
    <hyperlink ref="C70" r:id="rId20" xr:uid="{00000000-0004-0000-0000-000013000000}"/>
    <hyperlink ref="C71" r:id="rId21" xr:uid="{00000000-0004-0000-0000-000014000000}"/>
    <hyperlink ref="C72" r:id="rId22" xr:uid="{00000000-0004-0000-0000-000015000000}"/>
    <hyperlink ref="C73" r:id="rId23" xr:uid="{00000000-0004-0000-0000-000016000000}"/>
    <hyperlink ref="C74" r:id="rId24" xr:uid="{00000000-0004-0000-0000-000017000000}"/>
    <hyperlink ref="C75" r:id="rId25" xr:uid="{00000000-0004-0000-0000-000018000000}"/>
    <hyperlink ref="C76" r:id="rId26" xr:uid="{00000000-0004-0000-0000-000019000000}"/>
    <hyperlink ref="C77" r:id="rId27" xr:uid="{00000000-0004-0000-0000-00001A000000}"/>
    <hyperlink ref="C78" r:id="rId28" xr:uid="{00000000-0004-0000-0000-00001B000000}"/>
    <hyperlink ref="D80" r:id="rId29" xr:uid="{00000000-0004-0000-0000-00001C000000}"/>
    <hyperlink ref="D93" r:id="rId30" xr:uid="{00000000-0004-0000-0000-00001D000000}"/>
    <hyperlink ref="A106" r:id="rId31" xr:uid="{00000000-0004-0000-0000-00001E000000}"/>
    <hyperlink ref="D106" r:id="rId32" xr:uid="{00000000-0004-0000-0000-00001F000000}"/>
    <hyperlink ref="C108" r:id="rId33" xr:uid="{00000000-0004-0000-0000-000020000000}"/>
    <hyperlink ref="C109" r:id="rId34" xr:uid="{00000000-0004-0000-0000-000021000000}"/>
    <hyperlink ref="C110" r:id="rId35" xr:uid="{00000000-0004-0000-0000-000022000000}"/>
    <hyperlink ref="C111" r:id="rId36" xr:uid="{00000000-0004-0000-0000-000023000000}"/>
    <hyperlink ref="C112" r:id="rId37" xr:uid="{00000000-0004-0000-0000-000024000000}"/>
    <hyperlink ref="C113" r:id="rId38" xr:uid="{00000000-0004-0000-0000-000025000000}"/>
    <hyperlink ref="C114" r:id="rId39" xr:uid="{00000000-0004-0000-0000-000026000000}"/>
    <hyperlink ref="C115" r:id="rId40" xr:uid="{00000000-0004-0000-0000-000027000000}"/>
    <hyperlink ref="C116" r:id="rId41" xr:uid="{00000000-0004-0000-0000-000028000000}"/>
    <hyperlink ref="C117" r:id="rId42" xr:uid="{00000000-0004-0000-0000-000029000000}"/>
    <hyperlink ref="D119" r:id="rId43" xr:uid="{00000000-0004-0000-0000-00002A000000}"/>
    <hyperlink ref="A132" r:id="rId44" xr:uid="{00000000-0004-0000-0000-00002B000000}"/>
    <hyperlink ref="D132" r:id="rId45" xr:uid="{00000000-0004-0000-0000-00002C000000}"/>
    <hyperlink ref="D145" r:id="rId46" xr:uid="{00000000-0004-0000-0000-00002D000000}"/>
    <hyperlink ref="A171" r:id="rId47" xr:uid="{00000000-0004-0000-0000-00002E000000}"/>
    <hyperlink ref="D171" r:id="rId48" xr:uid="{00000000-0004-0000-0000-00002F000000}"/>
    <hyperlink ref="C173" r:id="rId49" xr:uid="{00000000-0004-0000-0000-000030000000}"/>
    <hyperlink ref="C174" r:id="rId50" xr:uid="{00000000-0004-0000-0000-000031000000}"/>
    <hyperlink ref="C175" r:id="rId51" xr:uid="{00000000-0004-0000-0000-000032000000}"/>
    <hyperlink ref="C176" r:id="rId52" xr:uid="{00000000-0004-0000-0000-000033000000}"/>
    <hyperlink ref="C177" r:id="rId53" xr:uid="{00000000-0004-0000-0000-000034000000}"/>
    <hyperlink ref="C178" r:id="rId54" xr:uid="{00000000-0004-0000-0000-000035000000}"/>
    <hyperlink ref="C179" r:id="rId55" xr:uid="{00000000-0004-0000-0000-000036000000}"/>
    <hyperlink ref="C180" r:id="rId56" xr:uid="{00000000-0004-0000-0000-000037000000}"/>
    <hyperlink ref="C181" r:id="rId57" xr:uid="{00000000-0004-0000-0000-000038000000}"/>
    <hyperlink ref="C182" r:id="rId58" xr:uid="{00000000-0004-0000-0000-000039000000}"/>
    <hyperlink ref="D184" r:id="rId59" xr:uid="{00000000-0004-0000-0000-00003A000000}"/>
    <hyperlink ref="A197" r:id="rId60" xr:uid="{00000000-0004-0000-0000-00003B000000}"/>
    <hyperlink ref="D197" r:id="rId61" xr:uid="{00000000-0004-0000-0000-00003C000000}"/>
    <hyperlink ref="C199" r:id="rId62" xr:uid="{00000000-0004-0000-0000-00003D000000}"/>
    <hyperlink ref="C200" r:id="rId63" xr:uid="{00000000-0004-0000-0000-00003E000000}"/>
    <hyperlink ref="C201" r:id="rId64" xr:uid="{00000000-0004-0000-0000-00003F000000}"/>
    <hyperlink ref="C202" r:id="rId65" xr:uid="{00000000-0004-0000-0000-000040000000}"/>
    <hyperlink ref="C203" r:id="rId66" xr:uid="{00000000-0004-0000-0000-000041000000}"/>
    <hyperlink ref="C204" r:id="rId67" xr:uid="{00000000-0004-0000-0000-000042000000}"/>
    <hyperlink ref="C205" r:id="rId68" xr:uid="{00000000-0004-0000-0000-000043000000}"/>
    <hyperlink ref="C206" r:id="rId69" xr:uid="{00000000-0004-0000-0000-000044000000}"/>
    <hyperlink ref="C207" r:id="rId70" xr:uid="{00000000-0004-0000-0000-000045000000}"/>
    <hyperlink ref="C208" r:id="rId71" xr:uid="{00000000-0004-0000-0000-000046000000}"/>
    <hyperlink ref="A210" r:id="rId72" xr:uid="{00000000-0004-0000-0000-000047000000}"/>
    <hyperlink ref="D223" r:id="rId73" xr:uid="{00000000-0004-0000-0000-000048000000}"/>
    <hyperlink ref="D236" r:id="rId74" xr:uid="{00000000-0004-0000-0000-000049000000}"/>
    <hyperlink ref="D249" r:id="rId75" xr:uid="{00000000-0004-0000-0000-00004A000000}"/>
    <hyperlink ref="A262" r:id="rId76" xr:uid="{00000000-0004-0000-0000-00004B000000}"/>
    <hyperlink ref="D262" r:id="rId77" xr:uid="{00000000-0004-0000-0000-00004C000000}"/>
    <hyperlink ref="C264" r:id="rId78" xr:uid="{00000000-0004-0000-0000-00004D000000}"/>
    <hyperlink ref="C265" r:id="rId79" xr:uid="{00000000-0004-0000-0000-00004E000000}"/>
    <hyperlink ref="C266" r:id="rId80" xr:uid="{00000000-0004-0000-0000-00004F000000}"/>
    <hyperlink ref="C267" r:id="rId81" xr:uid="{00000000-0004-0000-0000-000050000000}"/>
    <hyperlink ref="C268" r:id="rId82" xr:uid="{00000000-0004-0000-0000-000051000000}"/>
    <hyperlink ref="C269" r:id="rId83" xr:uid="{00000000-0004-0000-0000-000052000000}"/>
    <hyperlink ref="C270" r:id="rId84" xr:uid="{00000000-0004-0000-0000-000053000000}"/>
    <hyperlink ref="C271" r:id="rId85" xr:uid="{00000000-0004-0000-0000-000054000000}"/>
    <hyperlink ref="C272" r:id="rId86" xr:uid="{00000000-0004-0000-0000-000055000000}"/>
    <hyperlink ref="C273" r:id="rId87" xr:uid="{00000000-0004-0000-0000-000056000000}"/>
    <hyperlink ref="D275" r:id="rId88" xr:uid="{00000000-0004-0000-0000-000057000000}"/>
    <hyperlink ref="D288" r:id="rId89" xr:uid="{00000000-0004-0000-0000-000058000000}"/>
    <hyperlink ref="A301" r:id="rId90" xr:uid="{00000000-0004-0000-0000-000059000000}"/>
    <hyperlink ref="D314" r:id="rId91" xr:uid="{00000000-0004-0000-0000-00005A000000}"/>
    <hyperlink ref="A327" r:id="rId92" xr:uid="{00000000-0004-0000-0000-00005B000000}"/>
    <hyperlink ref="D340" r:id="rId93" xr:uid="{00000000-0004-0000-0000-00005C000000}"/>
    <hyperlink ref="A351" r:id="rId94" xr:uid="{00000000-0004-0000-0000-00005D000000}"/>
    <hyperlink ref="D353" r:id="rId95" xr:uid="{00000000-0004-0000-0000-00005E000000}"/>
    <hyperlink ref="D366" r:id="rId96" xr:uid="{00000000-0004-0000-0000-00005F000000}"/>
    <hyperlink ref="A379" r:id="rId97" xr:uid="{00000000-0004-0000-0000-000060000000}"/>
    <hyperlink ref="D379" r:id="rId98" xr:uid="{00000000-0004-0000-0000-000061000000}"/>
    <hyperlink ref="C381" r:id="rId99" xr:uid="{00000000-0004-0000-0000-000062000000}"/>
    <hyperlink ref="C382" r:id="rId100" xr:uid="{00000000-0004-0000-0000-000063000000}"/>
    <hyperlink ref="C383" r:id="rId101" xr:uid="{00000000-0004-0000-0000-000064000000}"/>
    <hyperlink ref="C384" r:id="rId102" xr:uid="{00000000-0004-0000-0000-000065000000}"/>
    <hyperlink ref="C385" r:id="rId103" xr:uid="{00000000-0004-0000-0000-000066000000}"/>
    <hyperlink ref="C386" r:id="rId104" xr:uid="{00000000-0004-0000-0000-000067000000}"/>
    <hyperlink ref="C387" r:id="rId105" xr:uid="{00000000-0004-0000-0000-000068000000}"/>
    <hyperlink ref="C388" r:id="rId106" xr:uid="{00000000-0004-0000-0000-000069000000}"/>
    <hyperlink ref="C390" r:id="rId107" xr:uid="{00000000-0004-0000-0000-00006A000000}"/>
    <hyperlink ref="A392" r:id="rId108" xr:uid="{00000000-0004-0000-0000-00006B000000}"/>
    <hyperlink ref="A405" r:id="rId109" xr:uid="{00000000-0004-0000-0000-00006C000000}"/>
    <hyperlink ref="D405" r:id="rId110" xr:uid="{00000000-0004-0000-0000-00006D000000}"/>
    <hyperlink ref="C407" r:id="rId111" xr:uid="{00000000-0004-0000-0000-00006E000000}"/>
    <hyperlink ref="C408" r:id="rId112" xr:uid="{00000000-0004-0000-0000-00006F000000}"/>
    <hyperlink ref="C409" r:id="rId113" xr:uid="{00000000-0004-0000-0000-000070000000}"/>
    <hyperlink ref="C410" r:id="rId114" xr:uid="{00000000-0004-0000-0000-000071000000}"/>
    <hyperlink ref="C411" r:id="rId115" xr:uid="{00000000-0004-0000-0000-000072000000}"/>
    <hyperlink ref="C412" r:id="rId116" xr:uid="{00000000-0004-0000-0000-000073000000}"/>
    <hyperlink ref="C413" r:id="rId117" xr:uid="{00000000-0004-0000-0000-000074000000}"/>
    <hyperlink ref="C414" r:id="rId118" xr:uid="{00000000-0004-0000-0000-000075000000}"/>
    <hyperlink ref="C415" r:id="rId119" xr:uid="{00000000-0004-0000-0000-000076000000}"/>
    <hyperlink ref="C416" r:id="rId120" xr:uid="{00000000-0004-0000-0000-000077000000}"/>
    <hyperlink ref="D418" r:id="rId121" xr:uid="{00000000-0004-0000-0000-000078000000}"/>
    <hyperlink ref="A431" r:id="rId122" xr:uid="{00000000-0004-0000-0000-000079000000}"/>
    <hyperlink ref="D444" r:id="rId123" xr:uid="{00000000-0004-0000-0000-00007A000000}"/>
    <hyperlink ref="D473" r:id="rId124" xr:uid="{00000000-0004-0000-0000-00007C000000}"/>
    <hyperlink ref="A486" r:id="rId125" xr:uid="{00000000-0004-0000-0000-00007D000000}"/>
    <hyperlink ref="A499" r:id="rId126" xr:uid="{00000000-0004-0000-0000-00007E000000}"/>
    <hyperlink ref="D512" r:id="rId127" xr:uid="{00000000-0004-0000-0000-00007F000000}"/>
    <hyperlink ref="A525" r:id="rId128" xr:uid="{00000000-0004-0000-0000-000080000000}"/>
    <hyperlink ref="D525" r:id="rId129" xr:uid="{00000000-0004-0000-0000-000081000000}"/>
    <hyperlink ref="C527" r:id="rId130" xr:uid="{00000000-0004-0000-0000-000082000000}"/>
    <hyperlink ref="C528" r:id="rId131" xr:uid="{00000000-0004-0000-0000-000083000000}"/>
    <hyperlink ref="C529" r:id="rId132" xr:uid="{00000000-0004-0000-0000-000084000000}"/>
    <hyperlink ref="C530" r:id="rId133" xr:uid="{00000000-0004-0000-0000-000085000000}"/>
    <hyperlink ref="C531" r:id="rId134" xr:uid="{00000000-0004-0000-0000-000086000000}"/>
    <hyperlink ref="C532" r:id="rId135" xr:uid="{00000000-0004-0000-0000-000087000000}"/>
    <hyperlink ref="C533" r:id="rId136" xr:uid="{00000000-0004-0000-0000-000088000000}"/>
    <hyperlink ref="C534" r:id="rId137" xr:uid="{00000000-0004-0000-0000-000089000000}"/>
    <hyperlink ref="C535" r:id="rId138" xr:uid="{00000000-0004-0000-0000-00008A000000}"/>
    <hyperlink ref="C536" r:id="rId139" xr:uid="{00000000-0004-0000-0000-00008B000000}"/>
    <hyperlink ref="D538" r:id="rId140" xr:uid="{00000000-0004-0000-0000-00008C000000}"/>
    <hyperlink ref="D551" r:id="rId141" xr:uid="{00000000-0004-0000-0000-00008D000000}"/>
    <hyperlink ref="D564" r:id="rId142" xr:uid="{00000000-0004-0000-0000-00008E000000}"/>
    <hyperlink ref="D577" r:id="rId143" xr:uid="{00000000-0004-0000-0000-00008F000000}"/>
    <hyperlink ref="D590" r:id="rId144" xr:uid="{00000000-0004-0000-0000-000090000000}"/>
    <hyperlink ref="D603" r:id="rId145" xr:uid="{00000000-0004-0000-0000-000091000000}"/>
    <hyperlink ref="D616" r:id="rId146" xr:uid="{00000000-0004-0000-0000-000092000000}"/>
    <hyperlink ref="D629" r:id="rId147" xr:uid="{00000000-0004-0000-0000-000093000000}"/>
    <hyperlink ref="A642" r:id="rId148" xr:uid="{00000000-0004-0000-0000-000094000000}"/>
    <hyperlink ref="D642" r:id="rId149" xr:uid="{00000000-0004-0000-0000-000095000000}"/>
    <hyperlink ref="C644" r:id="rId150" xr:uid="{00000000-0004-0000-0000-000096000000}"/>
    <hyperlink ref="C645" r:id="rId151" xr:uid="{00000000-0004-0000-0000-000097000000}"/>
    <hyperlink ref="C646" r:id="rId152" xr:uid="{00000000-0004-0000-0000-000098000000}"/>
    <hyperlink ref="C648" r:id="rId153" xr:uid="{00000000-0004-0000-0000-000099000000}"/>
    <hyperlink ref="C649" r:id="rId154" xr:uid="{00000000-0004-0000-0000-00009A000000}"/>
    <hyperlink ref="C650" r:id="rId155" xr:uid="{00000000-0004-0000-0000-00009B000000}"/>
    <hyperlink ref="C651" r:id="rId156" xr:uid="{00000000-0004-0000-0000-00009C000000}"/>
    <hyperlink ref="C652" r:id="rId157" xr:uid="{00000000-0004-0000-0000-00009D000000}"/>
    <hyperlink ref="C653" r:id="rId158" xr:uid="{00000000-0004-0000-0000-00009E000000}"/>
    <hyperlink ref="D655" r:id="rId159" xr:uid="{00000000-0004-0000-0000-00009F000000}"/>
    <hyperlink ref="A668" r:id="rId160" xr:uid="{00000000-0004-0000-0000-0000A0000000}"/>
    <hyperlink ref="D668" r:id="rId161" xr:uid="{00000000-0004-0000-0000-0000A1000000}"/>
    <hyperlink ref="C670" r:id="rId162" xr:uid="{00000000-0004-0000-0000-0000A2000000}"/>
    <hyperlink ref="C671" r:id="rId163" xr:uid="{00000000-0004-0000-0000-0000A3000000}"/>
    <hyperlink ref="C672" r:id="rId164" xr:uid="{00000000-0004-0000-0000-0000A4000000}"/>
    <hyperlink ref="C673" r:id="rId165" xr:uid="{00000000-0004-0000-0000-0000A5000000}"/>
    <hyperlink ref="C674" r:id="rId166" xr:uid="{00000000-0004-0000-0000-0000A6000000}"/>
    <hyperlink ref="C675" r:id="rId167" xr:uid="{00000000-0004-0000-0000-0000A7000000}"/>
    <hyperlink ref="C676" r:id="rId168" xr:uid="{00000000-0004-0000-0000-0000A8000000}"/>
    <hyperlink ref="C677" r:id="rId169" xr:uid="{00000000-0004-0000-0000-0000A9000000}"/>
    <hyperlink ref="C678" r:id="rId170" xr:uid="{00000000-0004-0000-0000-0000AA000000}"/>
    <hyperlink ref="C679" r:id="rId171" xr:uid="{00000000-0004-0000-0000-0000AB000000}"/>
    <hyperlink ref="A681" r:id="rId172" xr:uid="{00000000-0004-0000-0000-0000AC000000}"/>
    <hyperlink ref="D681" r:id="rId173" xr:uid="{00000000-0004-0000-0000-0000AD000000}"/>
    <hyperlink ref="C683" r:id="rId174" xr:uid="{00000000-0004-0000-0000-0000AE000000}"/>
    <hyperlink ref="C684" r:id="rId175" xr:uid="{00000000-0004-0000-0000-0000AF000000}"/>
    <hyperlink ref="C685" r:id="rId176" xr:uid="{00000000-0004-0000-0000-0000B0000000}"/>
    <hyperlink ref="C686" r:id="rId177" xr:uid="{00000000-0004-0000-0000-0000B1000000}"/>
    <hyperlink ref="C687" r:id="rId178" xr:uid="{00000000-0004-0000-0000-0000B2000000}"/>
    <hyperlink ref="C688" r:id="rId179" xr:uid="{00000000-0004-0000-0000-0000B3000000}"/>
    <hyperlink ref="C689" r:id="rId180" xr:uid="{00000000-0004-0000-0000-0000B4000000}"/>
    <hyperlink ref="C690" r:id="rId181" xr:uid="{00000000-0004-0000-0000-0000B5000000}"/>
    <hyperlink ref="C691" r:id="rId182" xr:uid="{00000000-0004-0000-0000-0000B6000000}"/>
    <hyperlink ref="C692" r:id="rId183" xr:uid="{00000000-0004-0000-0000-0000B7000000}"/>
    <hyperlink ref="D694" r:id="rId184" xr:uid="{00000000-0004-0000-0000-0000B8000000}"/>
    <hyperlink ref="D707" r:id="rId185" xr:uid="{00000000-0004-0000-0000-0000B9000000}"/>
    <hyperlink ref="D720" r:id="rId186" xr:uid="{00000000-0004-0000-0000-0000BA000000}"/>
    <hyperlink ref="A733" r:id="rId187" xr:uid="{00000000-0004-0000-0000-0000BB000000}"/>
    <hyperlink ref="D733" r:id="rId188" xr:uid="{00000000-0004-0000-0000-0000BC000000}"/>
    <hyperlink ref="C735" r:id="rId189" xr:uid="{00000000-0004-0000-0000-0000BD000000}"/>
    <hyperlink ref="C736" r:id="rId190" xr:uid="{00000000-0004-0000-0000-0000BE000000}"/>
    <hyperlink ref="C737" r:id="rId191" xr:uid="{00000000-0004-0000-0000-0000BF000000}"/>
    <hyperlink ref="C738" r:id="rId192" xr:uid="{00000000-0004-0000-0000-0000C0000000}"/>
    <hyperlink ref="C740" r:id="rId193" xr:uid="{00000000-0004-0000-0000-0000C1000000}"/>
    <hyperlink ref="C741" r:id="rId194" xr:uid="{00000000-0004-0000-0000-0000C2000000}"/>
    <hyperlink ref="C742" r:id="rId195" xr:uid="{00000000-0004-0000-0000-0000C3000000}"/>
    <hyperlink ref="C743" r:id="rId196" xr:uid="{00000000-0004-0000-0000-0000C4000000}"/>
    <hyperlink ref="C744" r:id="rId197" xr:uid="{00000000-0004-0000-0000-0000C5000000}"/>
    <hyperlink ref="A746" r:id="rId198" xr:uid="{00000000-0004-0000-0000-0000C6000000}"/>
    <hyperlink ref="A460" r:id="rId199" xr:uid="{00000000-0004-0000-0000-00007B000000}"/>
    <hyperlink ref="D453" r:id="rId200" xr:uid="{D821ED45-15D8-40BA-A709-9C96962B244B}"/>
  </hyperlinks>
  <pageMargins left="0.7" right="0.7" top="0.75" bottom="0.75" header="0.3" footer="0.3"/>
  <pageSetup orientation="portrait" r:id="rId2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76"/>
  <sheetViews>
    <sheetView topLeftCell="A722" workbookViewId="0">
      <selection activeCell="E737" sqref="E737"/>
    </sheetView>
  </sheetViews>
  <sheetFormatPr defaultColWidth="12.5703125" defaultRowHeight="15.75" customHeight="1"/>
  <cols>
    <col min="1" max="1" width="52.28515625" customWidth="1"/>
    <col min="3" max="3" width="61.42578125" customWidth="1"/>
  </cols>
  <sheetData>
    <row r="1" spans="1:4" ht="12.75">
      <c r="A1" s="155"/>
      <c r="B1" s="156"/>
      <c r="C1" s="156"/>
      <c r="D1" s="156"/>
    </row>
    <row r="2" spans="1:4" ht="15.75" customHeight="1">
      <c r="A2" s="22" t="str">
        <f>HYPERLINK("https://www.reddit.com/r/indieheads/comments/4p6koa/top_ten_tuesday_cage_the_elephant/","Cage the Elephant")</f>
        <v>Cage the Elephant</v>
      </c>
      <c r="B2" s="43">
        <v>42542</v>
      </c>
      <c r="C2" s="24"/>
      <c r="D2" s="59" t="s">
        <v>1</v>
      </c>
    </row>
    <row r="3" spans="1:4" ht="12.75">
      <c r="A3" s="26" t="s">
        <v>2</v>
      </c>
      <c r="B3" s="26" t="s">
        <v>3</v>
      </c>
      <c r="C3" s="26" t="s">
        <v>4</v>
      </c>
      <c r="D3" s="26" t="s">
        <v>5</v>
      </c>
    </row>
    <row r="4" spans="1:4" ht="12.75">
      <c r="A4" s="19" t="s">
        <v>636</v>
      </c>
      <c r="B4" s="8">
        <v>281</v>
      </c>
      <c r="C4" s="9" t="str">
        <f>HYPERLINK("https://en.wikipedia.org/wiki/Melophobia","Melophobia")</f>
        <v>Melophobia</v>
      </c>
      <c r="D4" s="7">
        <v>2013</v>
      </c>
    </row>
    <row r="5" spans="1:4" ht="12.75">
      <c r="A5" s="35" t="s">
        <v>637</v>
      </c>
      <c r="B5" s="28">
        <v>257</v>
      </c>
      <c r="C5" s="29" t="str">
        <f>HYPERLINK("https://en.wikipedia.org/wiki/Thank_You,_Happy_Birthday","Thank You, Happy Birthday")</f>
        <v>Thank You, Happy Birthday</v>
      </c>
      <c r="D5" s="27">
        <v>2010</v>
      </c>
    </row>
    <row r="6" spans="1:4" ht="12.75">
      <c r="A6" s="19" t="s">
        <v>638</v>
      </c>
      <c r="B6" s="8">
        <v>190</v>
      </c>
      <c r="C6" s="9" t="str">
        <f t="shared" ref="C6:C8" si="0">HYPERLINK("https://en.wikipedia.org/wiki/Melophobia","Melophobia")</f>
        <v>Melophobia</v>
      </c>
      <c r="D6" s="7">
        <v>2013</v>
      </c>
    </row>
    <row r="7" spans="1:4" ht="12.75">
      <c r="A7" s="35" t="s">
        <v>639</v>
      </c>
      <c r="B7" s="28">
        <v>180</v>
      </c>
      <c r="C7" s="29" t="str">
        <f t="shared" si="0"/>
        <v>Melophobia</v>
      </c>
      <c r="D7" s="27">
        <v>2013</v>
      </c>
    </row>
    <row r="8" spans="1:4" ht="12.75">
      <c r="A8" s="19" t="s">
        <v>640</v>
      </c>
      <c r="B8" s="8">
        <v>174</v>
      </c>
      <c r="C8" s="9" t="str">
        <f t="shared" si="0"/>
        <v>Melophobia</v>
      </c>
      <c r="D8" s="7">
        <v>2013</v>
      </c>
    </row>
    <row r="9" spans="1:4" ht="12.75">
      <c r="A9" s="35" t="s">
        <v>641</v>
      </c>
      <c r="B9" s="28">
        <v>171</v>
      </c>
      <c r="C9" s="29" t="str">
        <f>HYPERLINK("https://en.wikipedia.org/wiki/Thank_You,_Happy_Birthday","Thank You, Happy Birthday")</f>
        <v>Thank You, Happy Birthday</v>
      </c>
      <c r="D9" s="27">
        <v>2011</v>
      </c>
    </row>
    <row r="10" spans="1:4" ht="12.75">
      <c r="A10" s="19" t="s">
        <v>642</v>
      </c>
      <c r="B10" s="8">
        <v>169</v>
      </c>
      <c r="C10" s="9" t="str">
        <f>HYPERLINK("https://en.wikipedia.org/wiki/Cage_the_Elephant_(album)","Cage the Elephant")</f>
        <v>Cage the Elephant</v>
      </c>
      <c r="D10" s="7">
        <v>2008</v>
      </c>
    </row>
    <row r="11" spans="1:4" ht="12.75">
      <c r="A11" s="35" t="s">
        <v>643</v>
      </c>
      <c r="B11" s="28">
        <v>168</v>
      </c>
      <c r="C11" s="29" t="str">
        <f>HYPERLINK("https://en.wikipedia.org/wiki/Melophobia","Melophobia")</f>
        <v>Melophobia</v>
      </c>
      <c r="D11" s="27">
        <v>2013</v>
      </c>
    </row>
    <row r="12" spans="1:4" ht="12.75">
      <c r="A12" s="19" t="s">
        <v>644</v>
      </c>
      <c r="B12" s="8">
        <v>149</v>
      </c>
      <c r="C12" s="9" t="str">
        <f t="shared" ref="C12:C13" si="1">HYPERLINK("https://en.wikipedia.org/wiki/Cage_the_Elephant_(album)","Cage the Elephant")</f>
        <v>Cage the Elephant</v>
      </c>
      <c r="D12" s="7">
        <v>2008</v>
      </c>
    </row>
    <row r="13" spans="1:4" ht="12.75">
      <c r="A13" s="35" t="s">
        <v>645</v>
      </c>
      <c r="B13" s="28">
        <v>148</v>
      </c>
      <c r="C13" s="29" t="str">
        <f t="shared" si="1"/>
        <v>Cage the Elephant</v>
      </c>
      <c r="D13" s="27">
        <v>2008</v>
      </c>
    </row>
    <row r="14" spans="1:4" ht="12.75">
      <c r="A14" s="152"/>
      <c r="B14" s="153"/>
      <c r="C14" s="153"/>
      <c r="D14" s="154"/>
    </row>
    <row r="15" spans="1:4" ht="15.75" customHeight="1">
      <c r="A15" s="22" t="str">
        <f>HYPERLINK("https://www.reddit.com/r/indieheads/comments/fo383q/top_ten_tuesday_camera_obscura/","Camera Obscura")</f>
        <v>Camera Obscura</v>
      </c>
      <c r="B15" s="30">
        <v>43914</v>
      </c>
      <c r="C15" s="31"/>
      <c r="D15" s="32" t="s">
        <v>1</v>
      </c>
    </row>
    <row r="16" spans="1:4" ht="12.75">
      <c r="A16" s="33" t="s">
        <v>2</v>
      </c>
      <c r="B16" s="34" t="s">
        <v>3</v>
      </c>
      <c r="C16" s="33" t="s">
        <v>4</v>
      </c>
      <c r="D16" s="26" t="s">
        <v>5</v>
      </c>
    </row>
    <row r="17" spans="1:4" ht="12.75">
      <c r="A17" s="19" t="s">
        <v>646</v>
      </c>
      <c r="B17" s="8">
        <v>162</v>
      </c>
      <c r="C17" s="9" t="str">
        <f>HYPERLINK("https://en.wikipedia.org/wiki/Let%27s_Get_Out_of_This_Country","Let's Get Out of This Country")</f>
        <v>Let's Get Out of This Country</v>
      </c>
      <c r="D17" s="7">
        <v>2006</v>
      </c>
    </row>
    <row r="18" spans="1:4" ht="12.75">
      <c r="A18" s="35" t="s">
        <v>647</v>
      </c>
      <c r="B18" s="28">
        <v>157</v>
      </c>
      <c r="C18" s="29" t="str">
        <f>HYPERLINK("https://en.wikipedia.org/wiki/My_Maudlin_Career","My Maudlin Career")</f>
        <v>My Maudlin Career</v>
      </c>
      <c r="D18" s="27">
        <v>2009</v>
      </c>
    </row>
    <row r="19" spans="1:4" ht="12.75">
      <c r="A19" s="19" t="s">
        <v>648</v>
      </c>
      <c r="B19" s="8">
        <v>127</v>
      </c>
      <c r="C19" s="9" t="str">
        <f t="shared" ref="C19:C20" si="2">HYPERLINK("https://en.wikipedia.org/wiki/Let%27s_Get_Out_of_This_Country","Let's Get Out of This Country")</f>
        <v>Let's Get Out of This Country</v>
      </c>
      <c r="D19" s="7">
        <v>2006</v>
      </c>
    </row>
    <row r="20" spans="1:4" ht="12.75">
      <c r="A20" s="35" t="s">
        <v>649</v>
      </c>
      <c r="B20" s="28">
        <v>109</v>
      </c>
      <c r="C20" s="29" t="str">
        <f t="shared" si="2"/>
        <v>Let's Get Out of This Country</v>
      </c>
      <c r="D20" s="27">
        <v>2006</v>
      </c>
    </row>
    <row r="21" spans="1:4" ht="12.75">
      <c r="A21" s="19" t="s">
        <v>650</v>
      </c>
      <c r="B21" s="8">
        <v>97</v>
      </c>
      <c r="C21" s="9" t="str">
        <f>HYPERLINK("https://en.wikipedia.org/wiki/My_Maudlin_Career","My Maudlin Career")</f>
        <v>My Maudlin Career</v>
      </c>
      <c r="D21" s="7">
        <v>2009</v>
      </c>
    </row>
    <row r="22" spans="1:4" ht="12.75">
      <c r="A22" s="35" t="s">
        <v>651</v>
      </c>
      <c r="B22" s="28">
        <v>81</v>
      </c>
      <c r="C22" s="29" t="str">
        <f>HYPERLINK("https://en.wikipedia.org/wiki/Let%27s_Get_Out_of_This_Country","Let's Get Out of This Country")</f>
        <v>Let's Get Out of This Country</v>
      </c>
      <c r="D22" s="27">
        <v>2006</v>
      </c>
    </row>
    <row r="23" spans="1:4" ht="12.75">
      <c r="A23" s="19" t="s">
        <v>652</v>
      </c>
      <c r="B23" s="8">
        <v>60</v>
      </c>
      <c r="C23" s="9" t="str">
        <f>HYPERLINK("https://en.wikipedia.org/wiki/My_Maudlin_Career","My Maudlin Career")</f>
        <v>My Maudlin Career</v>
      </c>
      <c r="D23" s="7">
        <v>2009</v>
      </c>
    </row>
    <row r="24" spans="1:4" ht="12.75">
      <c r="A24" s="35" t="s">
        <v>653</v>
      </c>
      <c r="B24" s="28">
        <v>57</v>
      </c>
      <c r="C24" s="29" t="str">
        <f>HYPERLINK("https://en.wikipedia.org/wiki/Biggest_Bluest_Hi_Fi","Biggest Bluest Hi-Fi")</f>
        <v>Biggest Bluest Hi-Fi</v>
      </c>
      <c r="D24" s="27">
        <v>2001</v>
      </c>
    </row>
    <row r="25" spans="1:4" ht="12.75">
      <c r="A25" s="19" t="s">
        <v>654</v>
      </c>
      <c r="B25" s="8">
        <v>47</v>
      </c>
      <c r="C25" s="9" t="str">
        <f t="shared" ref="C25:C26" si="3">HYPERLINK("https://en.wikipedia.org/wiki/My_Maudlin_Career","My Maudlin Career")</f>
        <v>My Maudlin Career</v>
      </c>
      <c r="D25" s="7">
        <v>2009</v>
      </c>
    </row>
    <row r="26" spans="1:4" ht="12.75">
      <c r="A26" s="35" t="s">
        <v>655</v>
      </c>
      <c r="B26" s="28">
        <v>40</v>
      </c>
      <c r="C26" s="29" t="str">
        <f t="shared" si="3"/>
        <v>My Maudlin Career</v>
      </c>
      <c r="D26" s="27">
        <v>2009</v>
      </c>
    </row>
    <row r="27" spans="1:4" ht="12.75">
      <c r="A27" s="152"/>
      <c r="B27" s="153"/>
      <c r="C27" s="153"/>
      <c r="D27" s="154"/>
    </row>
    <row r="28" spans="1:4" ht="18">
      <c r="A28" s="22" t="str">
        <f>HYPERLINK("https://www.reddit.com/r/indieheads/comments/4wxmov/top_ten_tuesday_can/","Can")</f>
        <v>Can</v>
      </c>
      <c r="B28" s="43">
        <v>42591</v>
      </c>
      <c r="C28" s="24"/>
      <c r="D28" s="59" t="s">
        <v>1</v>
      </c>
    </row>
    <row r="29" spans="1:4" ht="12.75">
      <c r="A29" s="26" t="s">
        <v>2</v>
      </c>
      <c r="B29" s="26" t="s">
        <v>3</v>
      </c>
      <c r="C29" s="26" t="s">
        <v>4</v>
      </c>
      <c r="D29" s="26" t="s">
        <v>5</v>
      </c>
    </row>
    <row r="30" spans="1:4" ht="12.75">
      <c r="A30" s="7" t="s">
        <v>656</v>
      </c>
      <c r="B30" s="8">
        <v>226</v>
      </c>
      <c r="C30" s="9" t="str">
        <f>HYPERLINK("https://en.wikipedia.org/wiki/Tago_Mago","Tago Mago")</f>
        <v>Tago Mago</v>
      </c>
      <c r="D30" s="7">
        <v>1971</v>
      </c>
    </row>
    <row r="31" spans="1:4" ht="12.75">
      <c r="A31" s="27" t="s">
        <v>657</v>
      </c>
      <c r="B31" s="28">
        <v>149</v>
      </c>
      <c r="C31" s="29" t="str">
        <f>HYPERLINK("https://en.wikipedia.org/wiki/Future_Days","Future Days")</f>
        <v>Future Days</v>
      </c>
      <c r="D31" s="27">
        <v>1973</v>
      </c>
    </row>
    <row r="32" spans="1:4" ht="12.75">
      <c r="A32" s="7" t="s">
        <v>658</v>
      </c>
      <c r="B32" s="8">
        <v>132</v>
      </c>
      <c r="C32" s="9" t="str">
        <f>HYPERLINK("https://en.wikipedia.org/wiki/Ege_Bamyasi","Ege Bamyasi")</f>
        <v>Ege Bamyasi</v>
      </c>
      <c r="D32" s="7">
        <v>1972</v>
      </c>
    </row>
    <row r="33" spans="1:4" ht="12.75">
      <c r="A33" s="27" t="s">
        <v>659</v>
      </c>
      <c r="B33" s="28">
        <v>118</v>
      </c>
      <c r="C33" s="29" t="str">
        <f>HYPERLINK("https://en.wikipedia.org/wiki/Future_Days","Future Days")</f>
        <v>Future Days</v>
      </c>
      <c r="D33" s="27">
        <v>1973</v>
      </c>
    </row>
    <row r="34" spans="1:4" ht="12.75">
      <c r="A34" s="7" t="s">
        <v>660</v>
      </c>
      <c r="B34" s="8">
        <v>107</v>
      </c>
      <c r="C34" s="9" t="str">
        <f t="shared" ref="C34:C35" si="4">HYPERLINK("https://en.wikipedia.org/wiki/Tago_Mago","Tago Mago")</f>
        <v>Tago Mago</v>
      </c>
      <c r="D34" s="7">
        <v>1971</v>
      </c>
    </row>
    <row r="35" spans="1:4" ht="12.75">
      <c r="A35" s="27" t="s">
        <v>661</v>
      </c>
      <c r="B35" s="28">
        <v>98</v>
      </c>
      <c r="C35" s="29" t="str">
        <f t="shared" si="4"/>
        <v>Tago Mago</v>
      </c>
      <c r="D35" s="27">
        <v>1971</v>
      </c>
    </row>
    <row r="36" spans="1:4" ht="12.75">
      <c r="A36" s="7" t="s">
        <v>662</v>
      </c>
      <c r="B36" s="8">
        <v>88</v>
      </c>
      <c r="C36" s="9" t="str">
        <f>HYPERLINK("https://en.wikipedia.org/wiki/Soundtracks_(Can_album)","Soundtracks")</f>
        <v>Soundtracks</v>
      </c>
      <c r="D36" s="7">
        <v>1969</v>
      </c>
    </row>
    <row r="37" spans="1:4" ht="12.75">
      <c r="A37" s="27" t="s">
        <v>663</v>
      </c>
      <c r="B37" s="28">
        <v>79</v>
      </c>
      <c r="C37" s="29" t="str">
        <f>HYPERLINK("https://en.wikipedia.org/wiki/Future_Days","Future Days")</f>
        <v>Future Days</v>
      </c>
      <c r="D37" s="27">
        <v>1973</v>
      </c>
    </row>
    <row r="38" spans="1:4" ht="12.75">
      <c r="A38" s="7" t="s">
        <v>664</v>
      </c>
      <c r="B38" s="8">
        <v>78</v>
      </c>
      <c r="C38" s="9" t="str">
        <f>HYPERLINK("https://en.wikipedia.org/wiki/Monster_Movie_(album)","Monster Movie")</f>
        <v>Monster Movie</v>
      </c>
      <c r="D38" s="7">
        <v>1969</v>
      </c>
    </row>
    <row r="39" spans="1:4" ht="12.75">
      <c r="A39" s="27" t="s">
        <v>665</v>
      </c>
      <c r="B39" s="28">
        <v>73</v>
      </c>
      <c r="C39" s="29" t="str">
        <f>HYPERLINK("https://en.wikipedia.org/wiki/Tago_Mago","Tago Mago")</f>
        <v>Tago Mago</v>
      </c>
      <c r="D39" s="27">
        <v>1971</v>
      </c>
    </row>
    <row r="40" spans="1:4" ht="12.75">
      <c r="A40" s="152"/>
      <c r="B40" s="153"/>
      <c r="C40" s="153"/>
      <c r="D40" s="154"/>
    </row>
    <row r="41" spans="1:4" ht="18">
      <c r="A41" s="22" t="s">
        <v>666</v>
      </c>
      <c r="B41" s="43">
        <v>44152</v>
      </c>
      <c r="C41" s="31"/>
      <c r="D41" s="32" t="s">
        <v>1</v>
      </c>
    </row>
    <row r="42" spans="1:4" ht="12.75">
      <c r="A42" s="26" t="s">
        <v>2</v>
      </c>
      <c r="B42" s="34" t="s">
        <v>3</v>
      </c>
      <c r="C42" s="26" t="s">
        <v>4</v>
      </c>
      <c r="D42" s="26" t="s">
        <v>5</v>
      </c>
    </row>
    <row r="43" spans="1:4" ht="12.75">
      <c r="A43" s="7" t="s">
        <v>667</v>
      </c>
      <c r="B43" s="8">
        <v>219</v>
      </c>
      <c r="C43" s="9" t="s">
        <v>668</v>
      </c>
      <c r="D43" s="7">
        <v>2010</v>
      </c>
    </row>
    <row r="44" spans="1:4" ht="12.75">
      <c r="A44" s="27" t="s">
        <v>669</v>
      </c>
      <c r="B44" s="28">
        <v>201</v>
      </c>
      <c r="C44" s="29" t="s">
        <v>670</v>
      </c>
      <c r="D44" s="27">
        <v>2014</v>
      </c>
    </row>
    <row r="45" spans="1:4" ht="12.75">
      <c r="A45" s="7" t="s">
        <v>671</v>
      </c>
      <c r="B45" s="8">
        <v>134</v>
      </c>
      <c r="C45" s="9" t="s">
        <v>672</v>
      </c>
      <c r="D45" s="7">
        <v>2020</v>
      </c>
    </row>
    <row r="46" spans="1:4" ht="12.75">
      <c r="A46" s="27" t="s">
        <v>673</v>
      </c>
      <c r="B46" s="28">
        <v>132</v>
      </c>
      <c r="C46" s="29" t="s">
        <v>674</v>
      </c>
      <c r="D46" s="27">
        <v>2007</v>
      </c>
    </row>
    <row r="47" spans="1:4" ht="12.75">
      <c r="A47" s="7" t="s">
        <v>675</v>
      </c>
      <c r="B47" s="8">
        <v>98</v>
      </c>
      <c r="C47" s="9" t="s">
        <v>672</v>
      </c>
      <c r="D47" s="7">
        <v>2020</v>
      </c>
    </row>
    <row r="48" spans="1:4" ht="12.75">
      <c r="A48" s="27" t="s">
        <v>676</v>
      </c>
      <c r="B48" s="28">
        <v>92</v>
      </c>
      <c r="C48" s="29" t="s">
        <v>668</v>
      </c>
      <c r="D48" s="27">
        <v>2010</v>
      </c>
    </row>
    <row r="49" spans="1:4" ht="12.75">
      <c r="A49" s="7" t="s">
        <v>670</v>
      </c>
      <c r="B49" s="8">
        <v>92</v>
      </c>
      <c r="C49" s="9" t="s">
        <v>670</v>
      </c>
      <c r="D49" s="7">
        <v>2014</v>
      </c>
    </row>
    <row r="50" spans="1:4" ht="12.75">
      <c r="A50" s="27" t="s">
        <v>677</v>
      </c>
      <c r="B50" s="28">
        <v>82</v>
      </c>
      <c r="C50" s="29" t="s">
        <v>668</v>
      </c>
      <c r="D50" s="27">
        <v>2010</v>
      </c>
    </row>
    <row r="51" spans="1:4" ht="12.75">
      <c r="A51" s="7" t="s">
        <v>678</v>
      </c>
      <c r="B51" s="8">
        <v>76</v>
      </c>
      <c r="C51" s="9" t="s">
        <v>670</v>
      </c>
      <c r="D51" s="7">
        <v>2014</v>
      </c>
    </row>
    <row r="52" spans="1:4" ht="12.75">
      <c r="A52" s="27" t="s">
        <v>679</v>
      </c>
      <c r="B52" s="28">
        <v>71</v>
      </c>
      <c r="C52" s="29" t="s">
        <v>670</v>
      </c>
      <c r="D52" s="27">
        <v>2014</v>
      </c>
    </row>
    <row r="53" spans="1:4" ht="12.75">
      <c r="A53" s="152"/>
      <c r="B53" s="153"/>
      <c r="C53" s="153"/>
      <c r="D53" s="154"/>
    </row>
    <row r="54" spans="1:4" ht="18">
      <c r="A54" s="22" t="str">
        <f>HYPERLINK("https://www.reddit.com/r/indieheads/comments/5fj78n/top_ten_tuesday_car_seat_headrest/","Car Seat Headrest")</f>
        <v>Car Seat Headrest</v>
      </c>
      <c r="B54" s="43">
        <v>42703</v>
      </c>
      <c r="C54" s="24"/>
      <c r="D54" s="59" t="s">
        <v>1</v>
      </c>
    </row>
    <row r="55" spans="1:4" ht="12.75">
      <c r="A55" s="26" t="s">
        <v>2</v>
      </c>
      <c r="B55" s="26" t="s">
        <v>3</v>
      </c>
      <c r="C55" s="26" t="s">
        <v>4</v>
      </c>
      <c r="D55" s="26" t="s">
        <v>5</v>
      </c>
    </row>
    <row r="56" spans="1:4" ht="12.75">
      <c r="A56" s="7" t="s">
        <v>680</v>
      </c>
      <c r="B56" s="8">
        <v>470</v>
      </c>
      <c r="C56" s="9" t="str">
        <f t="shared" ref="C56:C57" si="5">HYPERLINK("https://en.wikipedia.org/wiki/Twin_Fantasy","Twin Fantasy")</f>
        <v>Twin Fantasy</v>
      </c>
      <c r="D56" s="7">
        <v>2011</v>
      </c>
    </row>
    <row r="57" spans="1:4" ht="12.75">
      <c r="A57" s="27" t="s">
        <v>681</v>
      </c>
      <c r="B57" s="28">
        <v>455</v>
      </c>
      <c r="C57" s="29" t="str">
        <f t="shared" si="5"/>
        <v>Twin Fantasy</v>
      </c>
      <c r="D57" s="27">
        <v>2011</v>
      </c>
    </row>
    <row r="58" spans="1:4" ht="12.75">
      <c r="A58" s="7" t="s">
        <v>3944</v>
      </c>
      <c r="B58" s="8">
        <v>420</v>
      </c>
      <c r="C58" s="9" t="str">
        <f>HYPERLINK("https://en.wikipedia.org/wiki/Teens_of_Denial","Teens of Denial")</f>
        <v>Teens of Denial</v>
      </c>
      <c r="D58" s="7">
        <v>2016</v>
      </c>
    </row>
    <row r="59" spans="1:4" ht="12.75">
      <c r="A59" s="27" t="s">
        <v>682</v>
      </c>
      <c r="B59" s="28">
        <v>348</v>
      </c>
      <c r="C59" s="29" t="str">
        <f>HYPERLINK("https://en.wikipedia.org/wiki/Twin_Fantasy","Twin Fantasy")</f>
        <v>Twin Fantasy</v>
      </c>
      <c r="D59" s="27">
        <v>2011</v>
      </c>
    </row>
    <row r="60" spans="1:4" ht="12.75">
      <c r="A60" s="7" t="s">
        <v>683</v>
      </c>
      <c r="B60" s="8">
        <v>299</v>
      </c>
      <c r="C60" s="9" t="str">
        <f>HYPERLINK("http://carseatheadrest.bandcamp.com/album/my-back-is-killing-me-baby","My Back is Killing Me Baby")</f>
        <v>My Back is Killing Me Baby</v>
      </c>
      <c r="D60" s="7">
        <v>2011</v>
      </c>
    </row>
    <row r="61" spans="1:4" ht="12.75">
      <c r="A61" s="27" t="s">
        <v>684</v>
      </c>
      <c r="B61" s="28">
        <v>277</v>
      </c>
      <c r="C61" s="29" t="str">
        <f>HYPERLINK("https://carseatheadrest.bandcamp.com/album/how-to-leave-town","How to Leave Town")</f>
        <v>How to Leave Town</v>
      </c>
      <c r="D61" s="27">
        <v>2014</v>
      </c>
    </row>
    <row r="62" spans="1:4" ht="12.75">
      <c r="A62" s="7" t="s">
        <v>685</v>
      </c>
      <c r="B62" s="8">
        <v>274</v>
      </c>
      <c r="C62" s="9" t="str">
        <f>HYPERLINK("https://en.wikipedia.org/wiki/Teens_of_Denial","Teens of Denial")</f>
        <v>Teens of Denial</v>
      </c>
      <c r="D62" s="7">
        <v>2016</v>
      </c>
    </row>
    <row r="63" spans="1:4" ht="12.75">
      <c r="A63" s="27" t="s">
        <v>3945</v>
      </c>
      <c r="B63" s="28">
        <v>236</v>
      </c>
      <c r="C63" s="29" t="str">
        <f>HYPERLINK("https://carseatheadrest.bandcamp.com/album/how-to-leave-town","How to Leave Town")</f>
        <v>How to Leave Town</v>
      </c>
      <c r="D63" s="27">
        <v>2014</v>
      </c>
    </row>
    <row r="64" spans="1:4" ht="12.75">
      <c r="A64" s="7" t="s">
        <v>686</v>
      </c>
      <c r="B64" s="8">
        <v>188</v>
      </c>
      <c r="C64" s="9" t="str">
        <f t="shared" ref="C64:C65" si="6">HYPERLINK("https://en.wikipedia.org/wiki/Teens_of_Denial","Teens of Denial")</f>
        <v>Teens of Denial</v>
      </c>
      <c r="D64" s="7">
        <v>2016</v>
      </c>
    </row>
    <row r="65" spans="1:4" ht="12.75">
      <c r="A65" s="27" t="s">
        <v>687</v>
      </c>
      <c r="B65" s="28">
        <v>173</v>
      </c>
      <c r="C65" s="29" t="str">
        <f t="shared" si="6"/>
        <v>Teens of Denial</v>
      </c>
      <c r="D65" s="27">
        <v>2016</v>
      </c>
    </row>
    <row r="66" spans="1:4" ht="12.75">
      <c r="A66" s="152"/>
      <c r="B66" s="153"/>
      <c r="C66" s="153"/>
      <c r="D66" s="154"/>
    </row>
    <row r="67" spans="1:4" ht="18">
      <c r="A67" s="22" t="str">
        <f>HYPERLINK("https://www.reddit.com/r/indieheads/comments/d8lghv/top_ten_tuesday_the_cars/","The Cars")</f>
        <v>The Cars</v>
      </c>
      <c r="B67" s="30">
        <v>43732</v>
      </c>
      <c r="C67" s="31"/>
      <c r="D67" s="32" t="s">
        <v>1</v>
      </c>
    </row>
    <row r="68" spans="1:4" ht="12.75">
      <c r="A68" s="26" t="s">
        <v>2</v>
      </c>
      <c r="B68" s="34" t="s">
        <v>3</v>
      </c>
      <c r="C68" s="33" t="s">
        <v>4</v>
      </c>
      <c r="D68" s="26" t="s">
        <v>5</v>
      </c>
    </row>
    <row r="69" spans="1:4" ht="12.75">
      <c r="A69" s="7" t="s">
        <v>688</v>
      </c>
      <c r="B69" s="8">
        <v>204</v>
      </c>
      <c r="C69" s="9" t="str">
        <f t="shared" ref="C69:C70" si="7">HYPERLINK("https://en.wikipedia.org/wiki/The_Cars_(album)","The Cars")</f>
        <v>The Cars</v>
      </c>
      <c r="D69" s="7">
        <v>1978</v>
      </c>
    </row>
    <row r="70" spans="1:4" ht="12.75">
      <c r="A70" s="27" t="s">
        <v>689</v>
      </c>
      <c r="B70" s="28">
        <v>141</v>
      </c>
      <c r="C70" s="29" t="str">
        <f t="shared" si="7"/>
        <v>The Cars</v>
      </c>
      <c r="D70" s="27">
        <v>1978</v>
      </c>
    </row>
    <row r="71" spans="1:4" ht="12.75">
      <c r="A71" s="7" t="s">
        <v>690</v>
      </c>
      <c r="B71" s="8">
        <v>140</v>
      </c>
      <c r="C71" s="9" t="str">
        <f>HYPERLINK("https://en.wikipedia.org/wiki/Heartbeat_City","Heartbeat City")</f>
        <v>Heartbeat City</v>
      </c>
      <c r="D71" s="7">
        <v>1984</v>
      </c>
    </row>
    <row r="72" spans="1:4" ht="12.75">
      <c r="A72" s="27" t="s">
        <v>691</v>
      </c>
      <c r="B72" s="28">
        <v>131</v>
      </c>
      <c r="C72" s="29" t="str">
        <f t="shared" ref="C72:C74" si="8">HYPERLINK("https://en.wikipedia.org/wiki/The_Cars_(album)","The Cars")</f>
        <v>The Cars</v>
      </c>
      <c r="D72" s="27">
        <v>1978</v>
      </c>
    </row>
    <row r="73" spans="1:4" ht="12.75">
      <c r="A73" s="7" t="s">
        <v>692</v>
      </c>
      <c r="B73" s="8">
        <v>112</v>
      </c>
      <c r="C73" s="9" t="str">
        <f t="shared" si="8"/>
        <v>The Cars</v>
      </c>
      <c r="D73" s="7">
        <v>1978</v>
      </c>
    </row>
    <row r="74" spans="1:4" ht="12.75">
      <c r="A74" s="27" t="s">
        <v>693</v>
      </c>
      <c r="B74" s="28">
        <v>104</v>
      </c>
      <c r="C74" s="29" t="str">
        <f t="shared" si="8"/>
        <v>The Cars</v>
      </c>
      <c r="D74" s="27">
        <v>1978</v>
      </c>
    </row>
    <row r="75" spans="1:4" ht="12.75">
      <c r="A75" s="7" t="s">
        <v>694</v>
      </c>
      <c r="B75" s="8">
        <v>86</v>
      </c>
      <c r="C75" s="9" t="str">
        <f>HYPERLINK("https://en.wikipedia.org/wiki/Candy-O","Candy-O")</f>
        <v>Candy-O</v>
      </c>
      <c r="D75" s="7">
        <v>1979</v>
      </c>
    </row>
    <row r="76" spans="1:4" ht="12.75">
      <c r="A76" s="27" t="s">
        <v>695</v>
      </c>
      <c r="B76" s="28">
        <v>80</v>
      </c>
      <c r="C76" s="29" t="str">
        <f t="shared" ref="C76:C77" si="9">HYPERLINK("https://en.wikipedia.org/wiki/Heartbeat_City","Heartbeat City")</f>
        <v>Heartbeat City</v>
      </c>
      <c r="D76" s="27">
        <v>1984</v>
      </c>
    </row>
    <row r="77" spans="1:4" ht="12.75">
      <c r="A77" s="7" t="s">
        <v>696</v>
      </c>
      <c r="B77" s="8">
        <v>61</v>
      </c>
      <c r="C77" s="9" t="str">
        <f t="shared" si="9"/>
        <v>Heartbeat City</v>
      </c>
      <c r="D77" s="7">
        <v>1984</v>
      </c>
    </row>
    <row r="78" spans="1:4" ht="12.75">
      <c r="A78" s="27" t="s">
        <v>697</v>
      </c>
      <c r="B78" s="28">
        <v>56</v>
      </c>
      <c r="C78" s="29" t="str">
        <f>HYPERLINK("https://en.wikipedia.org/wiki/The_Cars_(album)","The Cars")</f>
        <v>The Cars</v>
      </c>
      <c r="D78" s="27">
        <v>1978</v>
      </c>
    </row>
    <row r="79" spans="1:4" ht="12.75">
      <c r="A79" s="155"/>
      <c r="B79" s="156"/>
      <c r="C79" s="156"/>
      <c r="D79" s="156"/>
    </row>
    <row r="80" spans="1:4" ht="18">
      <c r="A80" s="13" t="s">
        <v>698</v>
      </c>
      <c r="B80" s="14">
        <v>44943</v>
      </c>
      <c r="C80" s="48"/>
      <c r="D80" s="48"/>
    </row>
    <row r="81" spans="1:4" ht="12.75">
      <c r="A81" s="15" t="s">
        <v>2</v>
      </c>
      <c r="B81" s="15" t="s">
        <v>3</v>
      </c>
      <c r="C81" s="15" t="s">
        <v>4</v>
      </c>
      <c r="D81" s="15" t="s">
        <v>5</v>
      </c>
    </row>
    <row r="82" spans="1:4" ht="12.75">
      <c r="A82" s="16" t="s">
        <v>699</v>
      </c>
      <c r="B82" s="16">
        <v>40</v>
      </c>
      <c r="C82" s="16" t="s">
        <v>700</v>
      </c>
      <c r="D82" s="16">
        <v>1969</v>
      </c>
    </row>
    <row r="83" spans="1:4" ht="12.75">
      <c r="A83" s="17" t="s">
        <v>701</v>
      </c>
      <c r="B83" s="17">
        <v>38</v>
      </c>
      <c r="C83" s="17" t="s">
        <v>702</v>
      </c>
      <c r="D83" s="17">
        <v>1972</v>
      </c>
    </row>
    <row r="84" spans="1:4" ht="12.75">
      <c r="A84" s="16" t="s">
        <v>221</v>
      </c>
      <c r="B84" s="16">
        <v>36</v>
      </c>
      <c r="C84" s="16" t="s">
        <v>703</v>
      </c>
      <c r="D84" s="16">
        <v>1967</v>
      </c>
    </row>
    <row r="85" spans="1:4" ht="12.75">
      <c r="A85" s="17" t="s">
        <v>704</v>
      </c>
      <c r="B85" s="17">
        <v>27</v>
      </c>
      <c r="C85" s="17" t="s">
        <v>702</v>
      </c>
      <c r="D85" s="17">
        <v>1972</v>
      </c>
    </row>
    <row r="86" spans="1:4" ht="12.75">
      <c r="A86" s="16" t="s">
        <v>705</v>
      </c>
      <c r="B86" s="16">
        <v>26</v>
      </c>
      <c r="C86" s="16" t="s">
        <v>703</v>
      </c>
      <c r="D86" s="16">
        <v>1967</v>
      </c>
    </row>
    <row r="87" spans="1:4" ht="12.75">
      <c r="A87" s="136" t="s">
        <v>3966</v>
      </c>
      <c r="B87" s="17">
        <v>25</v>
      </c>
      <c r="C87" s="17" t="s">
        <v>703</v>
      </c>
      <c r="D87" s="17">
        <v>1967</v>
      </c>
    </row>
    <row r="88" spans="1:4" ht="12.75">
      <c r="A88" s="16" t="s">
        <v>706</v>
      </c>
      <c r="B88" s="16">
        <v>22</v>
      </c>
      <c r="C88" s="16" t="s">
        <v>707</v>
      </c>
      <c r="D88" s="16">
        <v>1999</v>
      </c>
    </row>
    <row r="89" spans="1:4" ht="12.75">
      <c r="A89" s="17" t="s">
        <v>708</v>
      </c>
      <c r="B89" s="17">
        <v>17</v>
      </c>
      <c r="C89" s="17" t="s">
        <v>700</v>
      </c>
      <c r="D89" s="17">
        <v>1969</v>
      </c>
    </row>
    <row r="90" spans="1:4" ht="12.75">
      <c r="A90" s="16" t="s">
        <v>709</v>
      </c>
      <c r="B90" s="16">
        <v>16</v>
      </c>
      <c r="C90" s="16" t="s">
        <v>703</v>
      </c>
      <c r="D90" s="16">
        <v>1967</v>
      </c>
    </row>
    <row r="91" spans="1:4" ht="12.75">
      <c r="A91" s="17" t="s">
        <v>710</v>
      </c>
      <c r="B91" s="17">
        <v>16</v>
      </c>
      <c r="C91" s="17" t="s">
        <v>700</v>
      </c>
      <c r="D91" s="17">
        <v>1969</v>
      </c>
    </row>
    <row r="92" spans="1:4" ht="12.75">
      <c r="A92" s="152"/>
      <c r="B92" s="153"/>
      <c r="C92" s="153"/>
      <c r="D92" s="154"/>
    </row>
    <row r="93" spans="1:4" ht="18">
      <c r="A93" s="22" t="str">
        <f>HYPERLINK("https://www.reddit.com/r/indieheads/comments/c88xor/top_ten_tuesday_cat_power/","Cat Power")</f>
        <v>Cat Power</v>
      </c>
      <c r="B93" s="30">
        <v>43648</v>
      </c>
      <c r="C93" s="31"/>
      <c r="D93" s="32" t="s">
        <v>1</v>
      </c>
    </row>
    <row r="94" spans="1:4" ht="12.75">
      <c r="A94" s="26" t="s">
        <v>2</v>
      </c>
      <c r="B94" s="34" t="s">
        <v>3</v>
      </c>
      <c r="C94" s="33" t="s">
        <v>4</v>
      </c>
      <c r="D94" s="26" t="s">
        <v>5</v>
      </c>
    </row>
    <row r="95" spans="1:4" ht="12.75">
      <c r="A95" s="7" t="s">
        <v>711</v>
      </c>
      <c r="B95" s="8">
        <v>76</v>
      </c>
      <c r="C95" s="9" t="str">
        <f>HYPERLINK("https://en.wikipedia.org/wiki/Moon_Pix","Moon Pix")</f>
        <v>Moon Pix</v>
      </c>
      <c r="D95" s="7">
        <v>1998</v>
      </c>
    </row>
    <row r="96" spans="1:4" ht="12.75">
      <c r="A96" s="27" t="s">
        <v>712</v>
      </c>
      <c r="B96" s="28">
        <v>51</v>
      </c>
      <c r="C96" s="29" t="str">
        <f>HYPERLINK("https://en.wikipedia.org/wiki/You_Are_Free","You Are Free")</f>
        <v>You Are Free</v>
      </c>
      <c r="D96" s="27">
        <v>2003</v>
      </c>
    </row>
    <row r="97" spans="1:4" ht="12.75">
      <c r="A97" s="7" t="s">
        <v>713</v>
      </c>
      <c r="B97" s="8">
        <v>46</v>
      </c>
      <c r="C97" s="9" t="str">
        <f>HYPERLINK("https://en.wikipedia.org/wiki/Moon_Pix","Moon Pix")</f>
        <v>Moon Pix</v>
      </c>
      <c r="D97" s="7">
        <v>1998</v>
      </c>
    </row>
    <row r="98" spans="1:4" ht="12.75">
      <c r="A98" s="27" t="s">
        <v>714</v>
      </c>
      <c r="B98" s="28">
        <v>41</v>
      </c>
      <c r="C98" s="29" t="str">
        <f>HYPERLINK("https://en.wikipedia.org/wiki/The_Greatest_(Cat_Power_album)","The Greatest")</f>
        <v>The Greatest</v>
      </c>
      <c r="D98" s="27">
        <v>2006</v>
      </c>
    </row>
    <row r="99" spans="1:4" ht="12.75">
      <c r="A99" s="7" t="s">
        <v>715</v>
      </c>
      <c r="B99" s="8">
        <v>37</v>
      </c>
      <c r="C99" s="9" t="str">
        <f>HYPERLINK("https://en.wikipedia.org/wiki/You_Are_Free","You Are Free")</f>
        <v>You Are Free</v>
      </c>
      <c r="D99" s="7">
        <v>2003</v>
      </c>
    </row>
    <row r="100" spans="1:4" ht="12.75">
      <c r="A100" s="27" t="s">
        <v>716</v>
      </c>
      <c r="B100" s="28">
        <v>35</v>
      </c>
      <c r="C100" s="29" t="str">
        <f>HYPERLINK("https://en.wikipedia.org/wiki/What_Would_the_Community_Think","What Would the Community Think")</f>
        <v>What Would the Community Think</v>
      </c>
      <c r="D100" s="27">
        <v>1996</v>
      </c>
    </row>
    <row r="101" spans="1:4" ht="12.75">
      <c r="A101" s="7" t="s">
        <v>717</v>
      </c>
      <c r="B101" s="8">
        <v>26</v>
      </c>
      <c r="C101" s="9" t="str">
        <f>HYPERLINK("https://en.wikipedia.org/wiki/The_Covers_Record","The Covers Record")</f>
        <v>The Covers Record</v>
      </c>
      <c r="D101" s="7">
        <v>2000</v>
      </c>
    </row>
    <row r="102" spans="1:4" ht="12.75">
      <c r="A102" s="27" t="s">
        <v>718</v>
      </c>
      <c r="B102" s="28">
        <v>23</v>
      </c>
      <c r="C102" s="29" t="str">
        <f t="shared" ref="C102:C103" si="10">HYPERLINK("https://en.wikipedia.org/wiki/Moon_Pix","Moon Pix")</f>
        <v>Moon Pix</v>
      </c>
      <c r="D102" s="27">
        <v>1998</v>
      </c>
    </row>
    <row r="103" spans="1:4" ht="12.75">
      <c r="A103" s="7" t="s">
        <v>719</v>
      </c>
      <c r="B103" s="8">
        <v>23</v>
      </c>
      <c r="C103" s="9" t="str">
        <f t="shared" si="10"/>
        <v>Moon Pix</v>
      </c>
      <c r="D103" s="7">
        <v>1998</v>
      </c>
    </row>
    <row r="104" spans="1:4" ht="12.75">
      <c r="A104" s="27" t="s">
        <v>720</v>
      </c>
      <c r="B104" s="28">
        <v>22</v>
      </c>
      <c r="C104" s="29" t="str">
        <f>HYPERLINK("https://en.wikipedia.org/wiki/You_Are_Free","You Are Free")</f>
        <v>You Are Free</v>
      </c>
      <c r="D104" s="27">
        <v>2003</v>
      </c>
    </row>
    <row r="105" spans="1:4" ht="12.75">
      <c r="A105" s="155"/>
      <c r="B105" s="156"/>
      <c r="C105" s="156"/>
      <c r="D105" s="156"/>
    </row>
    <row r="106" spans="1:4" ht="18">
      <c r="A106" s="13" t="s">
        <v>721</v>
      </c>
      <c r="B106" s="14">
        <v>44936</v>
      </c>
      <c r="C106" s="15"/>
      <c r="D106" s="15"/>
    </row>
    <row r="107" spans="1:4" ht="12.75">
      <c r="A107" s="15" t="s">
        <v>2</v>
      </c>
      <c r="B107" s="15" t="s">
        <v>3</v>
      </c>
      <c r="C107" s="15" t="s">
        <v>4</v>
      </c>
      <c r="D107" s="15" t="s">
        <v>5</v>
      </c>
    </row>
    <row r="108" spans="1:4" ht="12.75">
      <c r="A108" s="16" t="s">
        <v>722</v>
      </c>
      <c r="B108" s="16">
        <v>47</v>
      </c>
      <c r="C108" s="16" t="s">
        <v>723</v>
      </c>
      <c r="D108" s="16">
        <v>2019</v>
      </c>
    </row>
    <row r="109" spans="1:4" ht="12.75">
      <c r="A109" s="17" t="s">
        <v>724</v>
      </c>
      <c r="B109" s="17">
        <v>41</v>
      </c>
      <c r="C109" s="17" t="s">
        <v>725</v>
      </c>
      <c r="D109" s="17">
        <v>2022</v>
      </c>
    </row>
    <row r="110" spans="1:4" ht="12.75">
      <c r="A110" s="16" t="s">
        <v>726</v>
      </c>
      <c r="B110" s="16">
        <v>40</v>
      </c>
      <c r="C110" s="16" t="s">
        <v>725</v>
      </c>
      <c r="D110" s="16">
        <v>2022</v>
      </c>
    </row>
    <row r="111" spans="1:4" ht="12.75">
      <c r="A111" s="17" t="s">
        <v>727</v>
      </c>
      <c r="B111" s="17">
        <v>34</v>
      </c>
      <c r="C111" s="17" t="s">
        <v>723</v>
      </c>
      <c r="D111" s="17">
        <v>2019</v>
      </c>
    </row>
    <row r="112" spans="1:4" ht="12.75">
      <c r="A112" s="16" t="s">
        <v>728</v>
      </c>
      <c r="B112" s="16">
        <v>30</v>
      </c>
      <c r="C112" s="16" t="s">
        <v>729</v>
      </c>
      <c r="D112" s="16">
        <v>2013</v>
      </c>
    </row>
    <row r="113" spans="1:4" ht="12.75">
      <c r="A113" s="17" t="s">
        <v>730</v>
      </c>
      <c r="B113" s="17">
        <v>24</v>
      </c>
      <c r="C113" s="17" t="s">
        <v>723</v>
      </c>
      <c r="D113" s="17">
        <v>2019</v>
      </c>
    </row>
    <row r="114" spans="1:4" ht="12.75">
      <c r="A114" s="16" t="s">
        <v>731</v>
      </c>
      <c r="B114" s="16">
        <v>22</v>
      </c>
      <c r="C114" s="16" t="s">
        <v>725</v>
      </c>
      <c r="D114" s="16">
        <v>2022</v>
      </c>
    </row>
    <row r="115" spans="1:4" ht="12.75">
      <c r="A115" s="17" t="s">
        <v>732</v>
      </c>
      <c r="B115" s="17">
        <v>22</v>
      </c>
      <c r="C115" s="17" t="s">
        <v>725</v>
      </c>
      <c r="D115" s="17">
        <v>2022</v>
      </c>
    </row>
    <row r="116" spans="1:4" ht="12.75">
      <c r="A116" s="16" t="s">
        <v>733</v>
      </c>
      <c r="B116" s="16">
        <v>15</v>
      </c>
      <c r="C116" s="16" t="s">
        <v>725</v>
      </c>
      <c r="D116" s="16">
        <v>2022</v>
      </c>
    </row>
    <row r="117" spans="1:4" ht="12.75">
      <c r="A117" s="17" t="s">
        <v>725</v>
      </c>
      <c r="B117" s="17">
        <v>14</v>
      </c>
      <c r="C117" s="17" t="s">
        <v>725</v>
      </c>
      <c r="D117" s="17">
        <v>2022</v>
      </c>
    </row>
    <row r="118" spans="1:4" ht="12.75">
      <c r="A118" s="152"/>
      <c r="B118" s="153"/>
      <c r="C118" s="153"/>
      <c r="D118" s="154"/>
    </row>
    <row r="119" spans="1:4" ht="18">
      <c r="A119" s="13" t="s">
        <v>734</v>
      </c>
      <c r="B119" s="47">
        <v>44922</v>
      </c>
      <c r="C119" s="48"/>
      <c r="D119" s="48"/>
    </row>
    <row r="120" spans="1:4" ht="12.75">
      <c r="A120" s="15" t="s">
        <v>2</v>
      </c>
      <c r="B120" s="15" t="s">
        <v>3</v>
      </c>
      <c r="C120" s="15" t="s">
        <v>4</v>
      </c>
      <c r="D120" s="15" t="s">
        <v>5</v>
      </c>
    </row>
    <row r="121" spans="1:4" ht="12.75">
      <c r="A121" s="16" t="s">
        <v>735</v>
      </c>
      <c r="B121" s="16">
        <v>614</v>
      </c>
      <c r="C121" s="16" t="s">
        <v>736</v>
      </c>
      <c r="D121" s="16">
        <v>2017</v>
      </c>
    </row>
    <row r="122" spans="1:4" ht="12.75">
      <c r="A122" s="17" t="s">
        <v>737</v>
      </c>
      <c r="B122" s="17">
        <v>609</v>
      </c>
      <c r="C122" s="17" t="s">
        <v>737</v>
      </c>
      <c r="D122" s="17">
        <v>2016</v>
      </c>
    </row>
    <row r="123" spans="1:4" ht="12.75">
      <c r="A123" s="16" t="s">
        <v>738</v>
      </c>
      <c r="B123" s="16">
        <v>464</v>
      </c>
      <c r="C123" s="16" t="s">
        <v>739</v>
      </c>
      <c r="D123" s="16">
        <v>2019</v>
      </c>
    </row>
    <row r="124" spans="1:4" ht="12.75">
      <c r="A124" s="17" t="s">
        <v>740</v>
      </c>
      <c r="B124" s="17">
        <v>403</v>
      </c>
      <c r="C124" s="17" t="s">
        <v>741</v>
      </c>
      <c r="D124" s="17">
        <v>2020</v>
      </c>
    </row>
    <row r="125" spans="1:4" ht="12.75">
      <c r="A125" s="16" t="s">
        <v>742</v>
      </c>
      <c r="B125" s="16">
        <v>366</v>
      </c>
      <c r="C125" s="16" t="s">
        <v>741</v>
      </c>
      <c r="D125" s="16">
        <v>2020</v>
      </c>
    </row>
    <row r="126" spans="1:4" ht="12.75">
      <c r="A126" s="17" t="s">
        <v>743</v>
      </c>
      <c r="B126" s="17">
        <v>361</v>
      </c>
      <c r="C126" s="17" t="s">
        <v>739</v>
      </c>
      <c r="D126" s="17">
        <v>2019</v>
      </c>
    </row>
    <row r="127" spans="1:4" ht="12.75">
      <c r="A127" s="16" t="s">
        <v>744</v>
      </c>
      <c r="B127" s="16">
        <v>301</v>
      </c>
      <c r="C127" s="16" t="s">
        <v>736</v>
      </c>
      <c r="D127" s="16">
        <v>2017</v>
      </c>
    </row>
    <row r="128" spans="1:4" ht="12.75">
      <c r="A128" s="17" t="s">
        <v>745</v>
      </c>
      <c r="B128" s="17">
        <v>276</v>
      </c>
      <c r="C128" s="17" t="s">
        <v>736</v>
      </c>
      <c r="D128" s="17">
        <v>2017</v>
      </c>
    </row>
    <row r="129" spans="1:4" ht="12.75">
      <c r="A129" s="16" t="s">
        <v>746</v>
      </c>
      <c r="B129" s="16">
        <v>258</v>
      </c>
      <c r="C129" s="16" t="s">
        <v>736</v>
      </c>
      <c r="D129" s="16">
        <v>2017</v>
      </c>
    </row>
    <row r="130" spans="1:4" ht="12.75">
      <c r="A130" s="17" t="s">
        <v>747</v>
      </c>
      <c r="B130" s="17">
        <v>223</v>
      </c>
      <c r="C130" s="17" t="s">
        <v>741</v>
      </c>
      <c r="D130" s="17">
        <v>2020</v>
      </c>
    </row>
    <row r="131" spans="1:4" ht="12.75">
      <c r="A131" s="155"/>
      <c r="B131" s="156"/>
      <c r="C131" s="156"/>
      <c r="D131" s="156"/>
    </row>
    <row r="132" spans="1:4" ht="18">
      <c r="A132" s="22" t="s">
        <v>748</v>
      </c>
      <c r="B132" s="30">
        <v>44327</v>
      </c>
      <c r="C132" s="31"/>
      <c r="D132" s="32" t="s">
        <v>1</v>
      </c>
    </row>
    <row r="133" spans="1:4" ht="12.75">
      <c r="A133" s="26" t="s">
        <v>2</v>
      </c>
      <c r="B133" s="34" t="s">
        <v>3</v>
      </c>
      <c r="C133" s="26" t="s">
        <v>4</v>
      </c>
      <c r="D133" s="26" t="s">
        <v>5</v>
      </c>
    </row>
    <row r="134" spans="1:4" ht="12.75">
      <c r="A134" s="7" t="s">
        <v>749</v>
      </c>
      <c r="B134" s="8">
        <v>146</v>
      </c>
      <c r="C134" s="9" t="s">
        <v>749</v>
      </c>
      <c r="D134" s="7">
        <v>2012</v>
      </c>
    </row>
    <row r="135" spans="1:4" ht="12.75">
      <c r="A135" s="27" t="s">
        <v>750</v>
      </c>
      <c r="B135" s="28">
        <v>137</v>
      </c>
      <c r="C135" s="62" t="s">
        <v>751</v>
      </c>
      <c r="D135" s="27">
        <v>2015</v>
      </c>
    </row>
    <row r="136" spans="1:4" ht="12.75">
      <c r="A136" s="7" t="s">
        <v>752</v>
      </c>
      <c r="B136" s="8">
        <v>101</v>
      </c>
      <c r="C136" s="63" t="s">
        <v>753</v>
      </c>
      <c r="D136" s="7">
        <v>2015</v>
      </c>
    </row>
    <row r="137" spans="1:4" ht="12.75">
      <c r="A137" s="27" t="s">
        <v>754</v>
      </c>
      <c r="B137" s="28">
        <v>98</v>
      </c>
      <c r="C137" s="62" t="s">
        <v>754</v>
      </c>
      <c r="D137" s="27">
        <v>2013</v>
      </c>
    </row>
    <row r="138" spans="1:4" ht="12.75">
      <c r="A138" s="7" t="s">
        <v>755</v>
      </c>
      <c r="B138" s="8">
        <v>62</v>
      </c>
      <c r="C138" s="9" t="s">
        <v>749</v>
      </c>
      <c r="D138" s="7">
        <v>2012</v>
      </c>
    </row>
    <row r="139" spans="1:4" ht="12.75">
      <c r="A139" s="27" t="s">
        <v>756</v>
      </c>
      <c r="B139" s="28">
        <v>58</v>
      </c>
      <c r="C139" s="29" t="s">
        <v>757</v>
      </c>
      <c r="D139" s="27">
        <v>2019</v>
      </c>
    </row>
    <row r="140" spans="1:4" ht="12.75">
      <c r="A140" s="7" t="s">
        <v>758</v>
      </c>
      <c r="B140" s="8">
        <v>52</v>
      </c>
      <c r="C140" s="9" t="s">
        <v>749</v>
      </c>
      <c r="D140" s="7">
        <v>2012</v>
      </c>
    </row>
    <row r="141" spans="1:4" ht="12.75">
      <c r="A141" s="27" t="s">
        <v>604</v>
      </c>
      <c r="B141" s="28">
        <v>44</v>
      </c>
      <c r="C141" s="29" t="s">
        <v>749</v>
      </c>
      <c r="D141" s="27">
        <v>2012</v>
      </c>
    </row>
    <row r="142" spans="1:4" ht="12.75">
      <c r="A142" s="7" t="s">
        <v>759</v>
      </c>
      <c r="B142" s="8">
        <v>43</v>
      </c>
      <c r="C142" s="9" t="s">
        <v>759</v>
      </c>
      <c r="D142" s="7">
        <v>2007</v>
      </c>
    </row>
    <row r="143" spans="1:4" ht="12.75">
      <c r="A143" s="27" t="s">
        <v>760</v>
      </c>
      <c r="B143" s="28">
        <v>36</v>
      </c>
      <c r="C143" s="29" t="s">
        <v>749</v>
      </c>
      <c r="D143" s="27">
        <v>2012</v>
      </c>
    </row>
    <row r="144" spans="1:4" ht="12.75">
      <c r="A144" s="152"/>
      <c r="B144" s="153"/>
      <c r="C144" s="153"/>
      <c r="D144" s="154"/>
    </row>
    <row r="145" spans="1:4" ht="18">
      <c r="A145" s="22" t="str">
        <f>HYPERLINK("https://www.reddit.com/r/indieheads/comments/9wosnh/top_ten_tuesday_chvrches/","CHVRCHES")</f>
        <v>CHVRCHES</v>
      </c>
      <c r="B145" s="43">
        <v>43417</v>
      </c>
      <c r="C145" s="31"/>
      <c r="D145" s="32" t="s">
        <v>1</v>
      </c>
    </row>
    <row r="146" spans="1:4" ht="12.75">
      <c r="A146" s="26" t="s">
        <v>2</v>
      </c>
      <c r="B146" s="34" t="s">
        <v>3</v>
      </c>
      <c r="C146" s="33" t="s">
        <v>4</v>
      </c>
      <c r="D146" s="26" t="s">
        <v>5</v>
      </c>
    </row>
    <row r="147" spans="1:4" ht="12.75">
      <c r="A147" s="7" t="s">
        <v>761</v>
      </c>
      <c r="B147" s="8">
        <v>466</v>
      </c>
      <c r="C147" s="9" t="str">
        <f>HYPERLINK("https://en.wikipedia.org/wiki/The_Bones_of_What_You_Believe","The Bones of What You Believe")</f>
        <v>The Bones of What You Believe</v>
      </c>
      <c r="D147" s="7">
        <v>2013</v>
      </c>
    </row>
    <row r="148" spans="1:4" ht="12.75">
      <c r="A148" s="27" t="s">
        <v>762</v>
      </c>
      <c r="B148" s="28">
        <v>373</v>
      </c>
      <c r="C148" s="29" t="str">
        <f>HYPERLINK("https://en.wikipedia.org/wiki/Every_Open_Eye","Every Open Eye")</f>
        <v>Every Open Eye</v>
      </c>
      <c r="D148" s="27">
        <v>2015</v>
      </c>
    </row>
    <row r="149" spans="1:4" ht="12.75">
      <c r="A149" s="7" t="s">
        <v>763</v>
      </c>
      <c r="B149" s="8">
        <v>318</v>
      </c>
      <c r="C149" s="9" t="str">
        <f>HYPERLINK("https://en.wikipedia.org/wiki/The_Bones_of_What_You_Believe","The Bones of What You Believe")</f>
        <v>The Bones of What You Believe</v>
      </c>
      <c r="D149" s="7">
        <v>2013</v>
      </c>
    </row>
    <row r="150" spans="1:4" ht="12.75">
      <c r="A150" s="27" t="s">
        <v>764</v>
      </c>
      <c r="B150" s="28">
        <v>258</v>
      </c>
      <c r="C150" s="29" t="str">
        <f>HYPERLINK("https://en.wikipedia.org/wiki/Recover_EP","Recover EP")</f>
        <v>Recover EP</v>
      </c>
      <c r="D150" s="27">
        <v>2013</v>
      </c>
    </row>
    <row r="151" spans="1:4" ht="12.75">
      <c r="A151" s="7" t="s">
        <v>765</v>
      </c>
      <c r="B151" s="8">
        <v>215</v>
      </c>
      <c r="C151" s="9" t="str">
        <f>HYPERLINK("https://en.wikipedia.org/wiki/Every_Open_Eye","Every Open Eye")</f>
        <v>Every Open Eye</v>
      </c>
      <c r="D151" s="7">
        <v>2015</v>
      </c>
    </row>
    <row r="152" spans="1:4" ht="12.75">
      <c r="A152" s="27" t="s">
        <v>766</v>
      </c>
      <c r="B152" s="28">
        <v>175</v>
      </c>
      <c r="C152" s="29" t="str">
        <f t="shared" ref="C152:C155" si="11">HYPERLINK("https://en.wikipedia.org/wiki/The_Bones_of_What_You_Believe","The Bones of What You Believe")</f>
        <v>The Bones of What You Believe</v>
      </c>
      <c r="D152" s="27">
        <v>2013</v>
      </c>
    </row>
    <row r="153" spans="1:4" ht="12.75">
      <c r="A153" s="7" t="s">
        <v>767</v>
      </c>
      <c r="B153" s="8">
        <v>170</v>
      </c>
      <c r="C153" s="9" t="str">
        <f t="shared" si="11"/>
        <v>The Bones of What You Believe</v>
      </c>
      <c r="D153" s="7">
        <v>2013</v>
      </c>
    </row>
    <row r="154" spans="1:4" ht="12.75">
      <c r="A154" s="27" t="s">
        <v>768</v>
      </c>
      <c r="B154" s="28">
        <v>165</v>
      </c>
      <c r="C154" s="29" t="str">
        <f t="shared" si="11"/>
        <v>The Bones of What You Believe</v>
      </c>
      <c r="D154" s="27">
        <v>2013</v>
      </c>
    </row>
    <row r="155" spans="1:4" ht="12.75">
      <c r="A155" s="7" t="s">
        <v>769</v>
      </c>
      <c r="B155" s="8">
        <v>134</v>
      </c>
      <c r="C155" s="9" t="str">
        <f t="shared" si="11"/>
        <v>The Bones of What You Believe</v>
      </c>
      <c r="D155" s="7">
        <v>2013</v>
      </c>
    </row>
    <row r="156" spans="1:4" ht="12.75">
      <c r="A156" s="27" t="s">
        <v>770</v>
      </c>
      <c r="B156" s="28">
        <v>120</v>
      </c>
      <c r="C156" s="29" t="str">
        <f>HYPERLINK("https://en.wikipedia.org/wiki/Every_Open_Eye","Every Open Eye")</f>
        <v>Every Open Eye</v>
      </c>
      <c r="D156" s="27">
        <v>2015</v>
      </c>
    </row>
    <row r="157" spans="1:4" ht="12.75">
      <c r="A157" s="152"/>
      <c r="B157" s="153"/>
      <c r="C157" s="153"/>
      <c r="D157" s="154"/>
    </row>
    <row r="158" spans="1:4" ht="18">
      <c r="A158" s="22" t="s">
        <v>771</v>
      </c>
      <c r="B158" s="30">
        <v>44359</v>
      </c>
      <c r="C158" s="31"/>
      <c r="D158" s="32" t="s">
        <v>1</v>
      </c>
    </row>
    <row r="159" spans="1:4" ht="12.75">
      <c r="A159" s="26" t="s">
        <v>2</v>
      </c>
      <c r="B159" s="26" t="s">
        <v>3</v>
      </c>
      <c r="C159" s="26" t="s">
        <v>4</v>
      </c>
      <c r="D159" s="26" t="s">
        <v>5</v>
      </c>
    </row>
    <row r="160" spans="1:4" ht="12.75">
      <c r="A160" s="7" t="s">
        <v>772</v>
      </c>
      <c r="B160" s="8">
        <v>70</v>
      </c>
      <c r="C160" s="9" t="s">
        <v>771</v>
      </c>
      <c r="D160" s="7">
        <v>2005</v>
      </c>
    </row>
    <row r="161" spans="1:4" ht="12.75">
      <c r="A161" s="27" t="s">
        <v>773</v>
      </c>
      <c r="B161" s="28">
        <v>51</v>
      </c>
      <c r="C161" s="29" t="s">
        <v>771</v>
      </c>
      <c r="D161" s="27">
        <v>2005</v>
      </c>
    </row>
    <row r="162" spans="1:4" ht="12.75">
      <c r="A162" s="7" t="s">
        <v>774</v>
      </c>
      <c r="B162" s="8">
        <v>43</v>
      </c>
      <c r="C162" s="9" t="s">
        <v>771</v>
      </c>
      <c r="D162" s="7">
        <v>2005</v>
      </c>
    </row>
    <row r="163" spans="1:4" ht="12.75">
      <c r="A163" s="27" t="s">
        <v>775</v>
      </c>
      <c r="B163" s="28">
        <v>41</v>
      </c>
      <c r="C163" s="29" t="s">
        <v>771</v>
      </c>
      <c r="D163" s="27">
        <v>2005</v>
      </c>
    </row>
    <row r="164" spans="1:4" ht="12.75">
      <c r="A164" s="7" t="s">
        <v>776</v>
      </c>
      <c r="B164" s="8">
        <v>31</v>
      </c>
      <c r="C164" s="9" t="s">
        <v>771</v>
      </c>
      <c r="D164" s="7">
        <v>2005</v>
      </c>
    </row>
    <row r="165" spans="1:4" ht="12.75">
      <c r="A165" s="27" t="s">
        <v>777</v>
      </c>
      <c r="B165" s="28">
        <v>25</v>
      </c>
      <c r="C165" s="29" t="s">
        <v>771</v>
      </c>
      <c r="D165" s="27">
        <v>2005</v>
      </c>
    </row>
    <row r="166" spans="1:4" ht="12.75">
      <c r="A166" s="7" t="s">
        <v>778</v>
      </c>
      <c r="B166" s="8">
        <v>24</v>
      </c>
      <c r="C166" s="9" t="s">
        <v>771</v>
      </c>
      <c r="D166" s="7">
        <v>2005</v>
      </c>
    </row>
    <row r="167" spans="1:4" ht="12.75">
      <c r="A167" s="27" t="s">
        <v>779</v>
      </c>
      <c r="B167" s="28">
        <v>20</v>
      </c>
      <c r="C167" s="29" t="s">
        <v>771</v>
      </c>
      <c r="D167" s="27">
        <v>2005</v>
      </c>
    </row>
    <row r="168" spans="1:4" ht="12.75">
      <c r="A168" s="7" t="s">
        <v>780</v>
      </c>
      <c r="B168" s="8">
        <v>18</v>
      </c>
      <c r="C168" s="9" t="s">
        <v>780</v>
      </c>
      <c r="D168" s="7">
        <v>2011</v>
      </c>
    </row>
    <row r="169" spans="1:4" ht="12.75">
      <c r="A169" s="27" t="s">
        <v>781</v>
      </c>
      <c r="B169" s="28">
        <v>12</v>
      </c>
      <c r="C169" s="27" t="s">
        <v>782</v>
      </c>
      <c r="D169" s="27">
        <v>2006</v>
      </c>
    </row>
    <row r="170" spans="1:4" ht="12.75">
      <c r="A170" s="152"/>
      <c r="B170" s="153"/>
      <c r="C170" s="153"/>
      <c r="D170" s="154"/>
    </row>
    <row r="171" spans="1:4" ht="18">
      <c r="A171" s="22" t="str">
        <f>HYPERLINK("https://www.reddit.com/r/indieheads/comments/5jdp6k/top_ten_tuesday_the_clash/","The Clash")</f>
        <v>The Clash</v>
      </c>
      <c r="B171" s="43">
        <v>42724</v>
      </c>
      <c r="C171" s="24"/>
      <c r="D171" s="59" t="s">
        <v>1</v>
      </c>
    </row>
    <row r="172" spans="1:4" ht="12.75">
      <c r="A172" s="26" t="s">
        <v>2</v>
      </c>
      <c r="B172" s="26" t="s">
        <v>3</v>
      </c>
      <c r="C172" s="26" t="s">
        <v>4</v>
      </c>
      <c r="D172" s="26" t="s">
        <v>5</v>
      </c>
    </row>
    <row r="173" spans="1:4" ht="12.75">
      <c r="A173" s="7" t="s">
        <v>783</v>
      </c>
      <c r="B173" s="8">
        <v>165</v>
      </c>
      <c r="C173" s="9" t="str">
        <f t="shared" ref="C173:C175" si="12">HYPERLINK("https://en.wikipedia.org/wiki/London_Calling","London Calling")</f>
        <v>London Calling</v>
      </c>
      <c r="D173" s="7">
        <v>1979</v>
      </c>
    </row>
    <row r="174" spans="1:4" ht="12.75">
      <c r="A174" s="27" t="s">
        <v>784</v>
      </c>
      <c r="B174" s="28">
        <v>134</v>
      </c>
      <c r="C174" s="29" t="str">
        <f t="shared" si="12"/>
        <v>London Calling</v>
      </c>
      <c r="D174" s="27">
        <v>1979</v>
      </c>
    </row>
    <row r="175" spans="1:4" ht="12.75">
      <c r="A175" s="7" t="s">
        <v>785</v>
      </c>
      <c r="B175" s="8">
        <v>116</v>
      </c>
      <c r="C175" s="9" t="str">
        <f t="shared" si="12"/>
        <v>London Calling</v>
      </c>
      <c r="D175" s="7">
        <v>1979</v>
      </c>
    </row>
    <row r="176" spans="1:4" ht="12.75">
      <c r="A176" s="27" t="s">
        <v>786</v>
      </c>
      <c r="B176" s="28">
        <v>114</v>
      </c>
      <c r="C176" s="29" t="str">
        <f>HYPERLINK("https://en.wikipedia.org/wiki/The_Clash_(album)","The Clash (US version)")</f>
        <v>The Clash (US version)</v>
      </c>
      <c r="D176" s="27">
        <v>1978</v>
      </c>
    </row>
    <row r="177" spans="1:4" ht="12.75">
      <c r="A177" s="7" t="s">
        <v>787</v>
      </c>
      <c r="B177" s="8">
        <v>112</v>
      </c>
      <c r="C177" s="9" t="str">
        <f>HYPERLINK("https://en.wikipedia.org/wiki/London_Calling","London Calling")</f>
        <v>London Calling</v>
      </c>
      <c r="D177" s="7">
        <v>1979</v>
      </c>
    </row>
    <row r="178" spans="1:4" ht="12.75">
      <c r="A178" s="27" t="s">
        <v>788</v>
      </c>
      <c r="B178" s="28">
        <v>110</v>
      </c>
      <c r="C178" s="29" t="str">
        <f>HYPERLINK("https://en.wikipedia.org/wiki/Combat_Rock","Combat Rock")</f>
        <v>Combat Rock</v>
      </c>
      <c r="D178" s="27">
        <v>1982</v>
      </c>
    </row>
    <row r="179" spans="1:4" ht="12.75">
      <c r="A179" s="7" t="s">
        <v>789</v>
      </c>
      <c r="B179" s="8">
        <v>109</v>
      </c>
      <c r="C179" s="9" t="str">
        <f>HYPERLINK("https://en.wikipedia.org/wiki/London_Calling","London Calling")</f>
        <v>London Calling</v>
      </c>
      <c r="D179" s="7">
        <v>1979</v>
      </c>
    </row>
    <row r="180" spans="1:4" ht="12.75">
      <c r="A180" s="27" t="s">
        <v>790</v>
      </c>
      <c r="B180" s="28">
        <v>97</v>
      </c>
      <c r="C180" s="29" t="str">
        <f>HYPERLINK("https://en.wikipedia.org/wiki/Combat_Rock","Combat Rock")</f>
        <v>Combat Rock</v>
      </c>
      <c r="D180" s="27">
        <v>1982</v>
      </c>
    </row>
    <row r="181" spans="1:4" ht="12.75">
      <c r="A181" s="7" t="s">
        <v>791</v>
      </c>
      <c r="B181" s="8">
        <v>83</v>
      </c>
      <c r="C181" s="9" t="str">
        <f>HYPERLINK("https://en.wikipedia.org/wiki/The_Clash_(album)","The Clash (US version)")</f>
        <v>The Clash (US version)</v>
      </c>
      <c r="D181" s="7">
        <v>1977</v>
      </c>
    </row>
    <row r="182" spans="1:4" ht="12.75">
      <c r="A182" s="27" t="s">
        <v>792</v>
      </c>
      <c r="B182" s="28">
        <v>77</v>
      </c>
      <c r="C182" s="29" t="str">
        <f>HYPERLINK("https://en.wikipedia.org/wiki/Sandinista!","Sandanista!")</f>
        <v>Sandanista!</v>
      </c>
      <c r="D182" s="27">
        <v>1980</v>
      </c>
    </row>
    <row r="183" spans="1:4" ht="12.75">
      <c r="A183" s="152"/>
      <c r="B183" s="153"/>
      <c r="C183" s="153"/>
      <c r="D183" s="154"/>
    </row>
    <row r="184" spans="1:4" ht="18">
      <c r="A184" s="22" t="s">
        <v>793</v>
      </c>
      <c r="B184" s="30">
        <v>44467</v>
      </c>
      <c r="C184" s="31"/>
      <c r="D184" s="32" t="s">
        <v>1</v>
      </c>
    </row>
    <row r="185" spans="1:4" ht="12.75">
      <c r="A185" s="26" t="s">
        <v>2</v>
      </c>
      <c r="B185" s="34" t="s">
        <v>3</v>
      </c>
      <c r="C185" s="26" t="s">
        <v>4</v>
      </c>
      <c r="D185" s="26" t="s">
        <v>5</v>
      </c>
    </row>
    <row r="186" spans="1:4" ht="12.75">
      <c r="A186" s="7" t="s">
        <v>794</v>
      </c>
      <c r="B186" s="8">
        <v>160</v>
      </c>
      <c r="C186" s="9" t="s">
        <v>795</v>
      </c>
      <c r="D186" s="7">
        <v>2014</v>
      </c>
    </row>
    <row r="187" spans="1:4" ht="12.75">
      <c r="A187" s="27" t="s">
        <v>796</v>
      </c>
      <c r="B187" s="28">
        <v>144</v>
      </c>
      <c r="C187" s="29" t="s">
        <v>797</v>
      </c>
      <c r="D187" s="27">
        <v>2020</v>
      </c>
    </row>
    <row r="188" spans="1:4" ht="12.75">
      <c r="A188" s="7" t="s">
        <v>798</v>
      </c>
      <c r="B188" s="8">
        <v>137</v>
      </c>
      <c r="C188" s="9" t="s">
        <v>795</v>
      </c>
      <c r="D188" s="7">
        <v>2014</v>
      </c>
    </row>
    <row r="189" spans="1:4" ht="12.75">
      <c r="A189" s="27" t="s">
        <v>799</v>
      </c>
      <c r="B189" s="28">
        <v>123</v>
      </c>
      <c r="C189" s="29" t="s">
        <v>797</v>
      </c>
      <c r="D189" s="27">
        <v>2020</v>
      </c>
    </row>
    <row r="190" spans="1:4" ht="12.75">
      <c r="A190" s="7" t="s">
        <v>800</v>
      </c>
      <c r="B190" s="8">
        <v>102</v>
      </c>
      <c r="C190" s="9" t="s">
        <v>801</v>
      </c>
      <c r="D190" s="7">
        <v>2019</v>
      </c>
    </row>
    <row r="191" spans="1:4" ht="12.75">
      <c r="A191" s="10" t="s">
        <v>802</v>
      </c>
      <c r="B191" s="11">
        <v>100</v>
      </c>
      <c r="C191" s="12" t="s">
        <v>801</v>
      </c>
      <c r="D191" s="10">
        <v>2019</v>
      </c>
    </row>
    <row r="192" spans="1:4" ht="12.75">
      <c r="A192" s="7" t="s">
        <v>803</v>
      </c>
      <c r="B192" s="8">
        <v>95</v>
      </c>
      <c r="C192" s="9" t="s">
        <v>804</v>
      </c>
      <c r="D192" s="7">
        <v>2016</v>
      </c>
    </row>
    <row r="193" spans="1:4" ht="12.75">
      <c r="A193" s="27" t="s">
        <v>805</v>
      </c>
      <c r="B193" s="28">
        <v>87</v>
      </c>
      <c r="C193" s="29" t="s">
        <v>795</v>
      </c>
      <c r="D193" s="27">
        <v>2015</v>
      </c>
    </row>
    <row r="194" spans="1:4" ht="12.75">
      <c r="A194" s="7" t="s">
        <v>806</v>
      </c>
      <c r="B194" s="8">
        <v>74</v>
      </c>
      <c r="C194" s="9" t="s">
        <v>797</v>
      </c>
      <c r="D194" s="7">
        <v>2020</v>
      </c>
    </row>
    <row r="195" spans="1:4" ht="12.75">
      <c r="A195" s="27" t="s">
        <v>807</v>
      </c>
      <c r="B195" s="28">
        <v>70</v>
      </c>
      <c r="C195" s="29" t="s">
        <v>797</v>
      </c>
      <c r="D195" s="27">
        <v>2020</v>
      </c>
    </row>
    <row r="196" spans="1:4" ht="12.75">
      <c r="A196" s="152"/>
      <c r="B196" s="153"/>
      <c r="C196" s="153"/>
      <c r="D196" s="154"/>
    </row>
    <row r="197" spans="1:4" ht="18">
      <c r="A197" s="22" t="str">
        <f>HYPERLINK("https://www.reddit.com/r/indieheads/comments/979x0u/top_ten_tuesday_cloud_nothings/","Cloud Nothings")</f>
        <v>Cloud Nothings</v>
      </c>
      <c r="B197" s="30">
        <v>43326</v>
      </c>
      <c r="C197" s="31"/>
      <c r="D197" s="32" t="s">
        <v>1</v>
      </c>
    </row>
    <row r="198" spans="1:4" ht="12.75">
      <c r="A198" s="26" t="s">
        <v>2</v>
      </c>
      <c r="B198" s="34" t="s">
        <v>3</v>
      </c>
      <c r="C198" s="26" t="s">
        <v>4</v>
      </c>
      <c r="D198" s="26" t="s">
        <v>5</v>
      </c>
    </row>
    <row r="199" spans="1:4" ht="12.75">
      <c r="A199" s="7" t="s">
        <v>808</v>
      </c>
      <c r="B199" s="8">
        <v>103</v>
      </c>
      <c r="C199" s="9" t="str">
        <f>HYPERLINK("https://en.wikipedia.org/wiki/Here_and_Nowhere_Else","Here and Nowhere Else")</f>
        <v>Here and Nowhere Else</v>
      </c>
      <c r="D199" s="7">
        <v>2014</v>
      </c>
    </row>
    <row r="200" spans="1:4" ht="12.75">
      <c r="A200" s="27" t="s">
        <v>809</v>
      </c>
      <c r="B200" s="28">
        <v>95</v>
      </c>
      <c r="C200" s="29" t="str">
        <f t="shared" ref="C200:C201" si="13">HYPERLINK("https://en.wikipedia.org/wiki/Attack_on_Memory","Attack on Memory")</f>
        <v>Attack on Memory</v>
      </c>
      <c r="D200" s="27">
        <v>2012</v>
      </c>
    </row>
    <row r="201" spans="1:4" ht="12.75">
      <c r="A201" s="7" t="s">
        <v>810</v>
      </c>
      <c r="B201" s="8">
        <v>89</v>
      </c>
      <c r="C201" s="9" t="str">
        <f t="shared" si="13"/>
        <v>Attack on Memory</v>
      </c>
      <c r="D201" s="7">
        <v>2012</v>
      </c>
    </row>
    <row r="202" spans="1:4" ht="12.75">
      <c r="A202" s="27" t="s">
        <v>811</v>
      </c>
      <c r="B202" s="28">
        <v>64</v>
      </c>
      <c r="C202" s="29" t="str">
        <f t="shared" ref="C202:C204" si="14">HYPERLINK("https://en.wikipedia.org/wiki/Here_and_Nowhere_Else","Here and Nowhere Else")</f>
        <v>Here and Nowhere Else</v>
      </c>
      <c r="D202" s="27">
        <v>2014</v>
      </c>
    </row>
    <row r="203" spans="1:4" ht="12.75">
      <c r="A203" s="7" t="s">
        <v>812</v>
      </c>
      <c r="B203" s="8">
        <v>56</v>
      </c>
      <c r="C203" s="9" t="str">
        <f t="shared" si="14"/>
        <v>Here and Nowhere Else</v>
      </c>
      <c r="D203" s="7">
        <v>2014</v>
      </c>
    </row>
    <row r="204" spans="1:4" ht="12.75">
      <c r="A204" s="132" t="s">
        <v>3959</v>
      </c>
      <c r="B204" s="28">
        <v>28</v>
      </c>
      <c r="C204" s="29" t="str">
        <f t="shared" si="14"/>
        <v>Here and Nowhere Else</v>
      </c>
      <c r="D204" s="27">
        <v>2014</v>
      </c>
    </row>
    <row r="205" spans="1:4" ht="12.75">
      <c r="A205" s="7" t="s">
        <v>813</v>
      </c>
      <c r="B205" s="8">
        <v>27</v>
      </c>
      <c r="C205" s="9" t="str">
        <f>HYPERLINK("https://en.wikipedia.org/wiki/Attack_on_Memory","Attack on Memory")</f>
        <v>Attack on Memory</v>
      </c>
      <c r="D205" s="7">
        <v>2012</v>
      </c>
    </row>
    <row r="206" spans="1:4" ht="12.75">
      <c r="A206" s="27" t="s">
        <v>814</v>
      </c>
      <c r="B206" s="28">
        <v>25</v>
      </c>
      <c r="C206" s="29" t="str">
        <f>HYPERLINK("https://en.wikipedia.org/wiki/Life_Without_Sound","Life Without Sound")</f>
        <v>Life Without Sound</v>
      </c>
      <c r="D206" s="27">
        <v>2017</v>
      </c>
    </row>
    <row r="207" spans="1:4" ht="12.75">
      <c r="A207" s="7" t="s">
        <v>815</v>
      </c>
      <c r="B207" s="8">
        <v>21</v>
      </c>
      <c r="C207" s="9" t="str">
        <f t="shared" ref="C207:C208" si="15">HYPERLINK("https://en.wikipedia.org/wiki/Attack_on_Memory","Attack on Memory")</f>
        <v>Attack on Memory</v>
      </c>
      <c r="D207" s="7">
        <v>2012</v>
      </c>
    </row>
    <row r="208" spans="1:4" ht="12.75">
      <c r="A208" s="27" t="s">
        <v>816</v>
      </c>
      <c r="B208" s="28">
        <v>20</v>
      </c>
      <c r="C208" s="29" t="str">
        <f t="shared" si="15"/>
        <v>Attack on Memory</v>
      </c>
      <c r="D208" s="27">
        <v>2012</v>
      </c>
    </row>
    <row r="209" spans="1:4" ht="12.75">
      <c r="A209" s="152"/>
      <c r="B209" s="153"/>
      <c r="C209" s="153"/>
      <c r="D209" s="154"/>
    </row>
    <row r="210" spans="1:4" ht="18">
      <c r="A210" s="22" t="str">
        <f>HYPERLINK("https://www.reddit.com/r/indieheads/comments/6a4ona/top_ten_tuesday_cocteau_twins/","Cocteau Twins")</f>
        <v>Cocteau Twins</v>
      </c>
      <c r="B210" s="30">
        <v>42864</v>
      </c>
      <c r="C210" s="24"/>
      <c r="D210" s="59" t="s">
        <v>1</v>
      </c>
    </row>
    <row r="211" spans="1:4" ht="12.75">
      <c r="A211" s="26" t="s">
        <v>2</v>
      </c>
      <c r="B211" s="26" t="s">
        <v>3</v>
      </c>
      <c r="C211" s="26" t="s">
        <v>4</v>
      </c>
      <c r="D211" s="26" t="s">
        <v>5</v>
      </c>
    </row>
    <row r="212" spans="1:4" ht="12.75">
      <c r="A212" s="7" t="s">
        <v>817</v>
      </c>
      <c r="B212" s="8">
        <v>82</v>
      </c>
      <c r="C212" s="9" t="str">
        <f t="shared" ref="C212:C213" si="16">HYPERLINK("https://en.wikipedia.org/wiki/Heaven_or_Las_Vegas","Heaven or Las Vegas")</f>
        <v>Heaven or Las Vegas</v>
      </c>
      <c r="D212" s="7">
        <v>1990</v>
      </c>
    </row>
    <row r="213" spans="1:4" ht="12.75">
      <c r="A213" s="27" t="s">
        <v>818</v>
      </c>
      <c r="B213" s="28">
        <v>80</v>
      </c>
      <c r="C213" s="29" t="str">
        <f t="shared" si="16"/>
        <v>Heaven or Las Vegas</v>
      </c>
      <c r="D213" s="27">
        <v>1990</v>
      </c>
    </row>
    <row r="214" spans="1:4" ht="12.75">
      <c r="A214" s="133" t="s">
        <v>3960</v>
      </c>
      <c r="B214" s="8">
        <v>55</v>
      </c>
      <c r="C214" s="9" t="str">
        <f t="shared" ref="C214:C215" si="17">HYPERLINK("https://en.wikipedia.org/wiki/Treasure_(Cocteau_Twins_album)","Treasure")</f>
        <v>Treasure</v>
      </c>
      <c r="D214" s="7">
        <v>1984</v>
      </c>
    </row>
    <row r="215" spans="1:4" ht="12.75">
      <c r="A215" s="27" t="s">
        <v>819</v>
      </c>
      <c r="B215" s="28">
        <v>55</v>
      </c>
      <c r="C215" s="29" t="str">
        <f t="shared" si="17"/>
        <v>Treasure</v>
      </c>
      <c r="D215" s="27">
        <v>1984</v>
      </c>
    </row>
    <row r="216" spans="1:4" ht="12.75">
      <c r="A216" s="7" t="s">
        <v>820</v>
      </c>
      <c r="B216" s="8">
        <v>48</v>
      </c>
      <c r="C216" s="9" t="str">
        <f>HYPERLINK("https://en.wikipedia.org/wiki/Blue_Bell_Knoll","Blue Bell Knoll")</f>
        <v>Blue Bell Knoll</v>
      </c>
      <c r="D216" s="7">
        <v>1988</v>
      </c>
    </row>
    <row r="217" spans="1:4" ht="12.75">
      <c r="A217" s="27" t="s">
        <v>821</v>
      </c>
      <c r="B217" s="28">
        <v>43</v>
      </c>
      <c r="C217" s="29" t="str">
        <f t="shared" ref="C217:C218" si="18">HYPERLINK("https://en.wikipedia.org/wiki/Heaven_or_Las_Vegas","Heaven or Las Vegas")</f>
        <v>Heaven or Las Vegas</v>
      </c>
      <c r="D217" s="27">
        <v>1990</v>
      </c>
    </row>
    <row r="218" spans="1:4" ht="12.75">
      <c r="A218" s="7" t="s">
        <v>822</v>
      </c>
      <c r="B218" s="8">
        <v>41</v>
      </c>
      <c r="C218" s="9" t="str">
        <f t="shared" si="18"/>
        <v>Heaven or Las Vegas</v>
      </c>
      <c r="D218" s="7">
        <v>1990</v>
      </c>
    </row>
    <row r="219" spans="1:4" ht="12.75">
      <c r="A219" s="27" t="s">
        <v>823</v>
      </c>
      <c r="B219" s="28">
        <v>30</v>
      </c>
      <c r="C219" s="29" t="str">
        <f>HYPERLINK("https://en.wikipedia.org/wiki/Victorialand","Victorialand")</f>
        <v>Victorialand</v>
      </c>
      <c r="D219" s="27">
        <v>1986</v>
      </c>
    </row>
    <row r="220" spans="1:4" ht="12.75">
      <c r="A220" s="7" t="s">
        <v>824</v>
      </c>
      <c r="B220" s="8">
        <v>29</v>
      </c>
      <c r="C220" s="9" t="str">
        <f>HYPERLINK("https://en.wikipedia.org/wiki/Blue_Bell_Knoll","Blue Bell Knoll")</f>
        <v>Blue Bell Knoll</v>
      </c>
      <c r="D220" s="7">
        <v>1988</v>
      </c>
    </row>
    <row r="221" spans="1:4" ht="12.75">
      <c r="A221" s="27" t="s">
        <v>825</v>
      </c>
      <c r="B221" s="28">
        <v>28</v>
      </c>
      <c r="C221" s="29" t="str">
        <f>HYPERLINK("https://en.wikipedia.org/wiki/The_Moon_and_the_Melodies","The Moon and the Melodies")</f>
        <v>The Moon and the Melodies</v>
      </c>
      <c r="D221" s="27">
        <v>1986</v>
      </c>
    </row>
    <row r="222" spans="1:4" ht="12.75">
      <c r="A222" s="152"/>
      <c r="B222" s="153"/>
      <c r="C222" s="153"/>
      <c r="D222" s="154"/>
    </row>
    <row r="223" spans="1:4" ht="18">
      <c r="A223" s="22" t="str">
        <f>HYPERLINK("https://www.reddit.com/r/indieheads/comments/6h0gtr/top_ten_tuesday_coldplay/","Coldplay")</f>
        <v>Coldplay</v>
      </c>
      <c r="B223" s="30">
        <v>42899</v>
      </c>
      <c r="C223" s="24"/>
      <c r="D223" s="59" t="s">
        <v>1</v>
      </c>
    </row>
    <row r="224" spans="1:4" ht="12.75">
      <c r="A224" s="26" t="s">
        <v>2</v>
      </c>
      <c r="B224" s="26" t="s">
        <v>3</v>
      </c>
      <c r="C224" s="26" t="s">
        <v>4</v>
      </c>
      <c r="D224" s="26" t="s">
        <v>5</v>
      </c>
    </row>
    <row r="225" spans="1:4" ht="12.75">
      <c r="A225" s="7" t="s">
        <v>826</v>
      </c>
      <c r="B225" s="8">
        <v>323</v>
      </c>
      <c r="C225" s="9" t="str">
        <f>HYPERLINK("https://en.wikipedia.org/wiki/A_Rush_of_Blood_to_the_Head","A Rush of Blood to the Head")</f>
        <v>A Rush of Blood to the Head</v>
      </c>
      <c r="D225" s="7">
        <v>2002</v>
      </c>
    </row>
    <row r="226" spans="1:4" ht="12.75">
      <c r="A226" s="27" t="s">
        <v>827</v>
      </c>
      <c r="B226" s="28">
        <v>226</v>
      </c>
      <c r="C226" s="29" t="str">
        <f t="shared" ref="C226:C227" si="19">HYPERLINK("https://en.wikipedia.org/wiki/Parachutes_(album)","Parachutes")</f>
        <v>Parachutes</v>
      </c>
      <c r="D226" s="27">
        <v>2000</v>
      </c>
    </row>
    <row r="227" spans="1:4" ht="12.75">
      <c r="A227" s="7" t="s">
        <v>828</v>
      </c>
      <c r="B227" s="8">
        <v>214</v>
      </c>
      <c r="C227" s="9" t="str">
        <f t="shared" si="19"/>
        <v>Parachutes</v>
      </c>
      <c r="D227" s="7">
        <v>2000</v>
      </c>
    </row>
    <row r="228" spans="1:4" ht="12.75">
      <c r="A228" s="27" t="s">
        <v>829</v>
      </c>
      <c r="B228" s="28">
        <v>202</v>
      </c>
      <c r="C228" s="29" t="str">
        <f t="shared" ref="C228:C229" si="20">HYPERLINK("https://en.wikipedia.org/wiki/Viva_la_Vida_or_Death_and_All_His_Friends","Viva la Vida or Death and All His Friends")</f>
        <v>Viva la Vida or Death and All His Friends</v>
      </c>
      <c r="D228" s="27">
        <v>2008</v>
      </c>
    </row>
    <row r="229" spans="1:4" ht="12.75">
      <c r="A229" s="7" t="s">
        <v>830</v>
      </c>
      <c r="B229" s="8">
        <v>184</v>
      </c>
      <c r="C229" s="9" t="str">
        <f t="shared" si="20"/>
        <v>Viva la Vida or Death and All His Friends</v>
      </c>
      <c r="D229" s="7">
        <v>2008</v>
      </c>
    </row>
    <row r="230" spans="1:4" ht="12.75">
      <c r="A230" s="27" t="s">
        <v>831</v>
      </c>
      <c r="B230" s="28">
        <v>181</v>
      </c>
      <c r="C230" s="29" t="str">
        <f>HYPERLINK("https://en.wikipedia.org/wiki/A_Rush_of_Blood_to_the_Head","A Rush of Blood to the Head")</f>
        <v>A Rush of Blood to the Head</v>
      </c>
      <c r="D230" s="27">
        <v>2002</v>
      </c>
    </row>
    <row r="231" spans="1:4" ht="12.75">
      <c r="A231" s="7" t="s">
        <v>832</v>
      </c>
      <c r="B231" s="8">
        <v>179</v>
      </c>
      <c r="C231" s="9" t="str">
        <f>HYPERLINK("https://en.wikipedia.org/wiki/X%26Y","X&amp;Y")</f>
        <v>X&amp;Y</v>
      </c>
      <c r="D231" s="7">
        <v>2005</v>
      </c>
    </row>
    <row r="232" spans="1:4" ht="12.75">
      <c r="A232" s="27" t="s">
        <v>833</v>
      </c>
      <c r="B232" s="28">
        <v>162</v>
      </c>
      <c r="C232" s="29" t="str">
        <f>HYPERLINK("https://en.wikipedia.org/wiki/Parachutes_(album)","Parachutes")</f>
        <v>Parachutes</v>
      </c>
      <c r="D232" s="27">
        <v>2000</v>
      </c>
    </row>
    <row r="233" spans="1:4" ht="12.75">
      <c r="A233" s="7" t="s">
        <v>834</v>
      </c>
      <c r="B233" s="8">
        <v>154</v>
      </c>
      <c r="C233" s="9" t="str">
        <f>HYPERLINK("https://en.wikipedia.org/wiki/A_Rush_of_Blood_to_the_Head","A Rush of Blood to the Head")</f>
        <v>A Rush of Blood to the Head</v>
      </c>
      <c r="D233" s="7">
        <v>2002</v>
      </c>
    </row>
    <row r="234" spans="1:4" ht="12.75">
      <c r="A234" s="27" t="s">
        <v>835</v>
      </c>
      <c r="B234" s="28">
        <v>153</v>
      </c>
      <c r="C234" s="29" t="str">
        <f>HYPERLINK("https://en.wikipedia.org/wiki/Viva_la_Vida_or_Death_and_All_His_Friends","Viva la Vida or Death and All His Friends")</f>
        <v>Viva la Vida or Death and All His Friends</v>
      </c>
      <c r="D234" s="27">
        <v>2008</v>
      </c>
    </row>
    <row r="235" spans="1:4" ht="12.75">
      <c r="A235" s="152"/>
      <c r="B235" s="153"/>
      <c r="C235" s="153"/>
      <c r="D235" s="154"/>
    </row>
    <row r="236" spans="1:4" ht="18">
      <c r="A236" s="22" t="str">
        <f>HYPERLINK("https://www.reddit.com/r/indieheads/comments/c57hkc/top_ten_tuesday_courtney_barnett/","Courtney Barnett")</f>
        <v>Courtney Barnett</v>
      </c>
      <c r="B236" s="30">
        <v>43641</v>
      </c>
      <c r="C236" s="31"/>
      <c r="D236" s="32" t="s">
        <v>1</v>
      </c>
    </row>
    <row r="237" spans="1:4" ht="12.75">
      <c r="A237" s="26" t="s">
        <v>2</v>
      </c>
      <c r="B237" s="34" t="s">
        <v>3</v>
      </c>
      <c r="C237" s="33" t="s">
        <v>4</v>
      </c>
      <c r="D237" s="26" t="s">
        <v>5</v>
      </c>
    </row>
    <row r="238" spans="1:4" ht="12.75">
      <c r="A238" s="7" t="s">
        <v>836</v>
      </c>
      <c r="B238" s="8">
        <v>622</v>
      </c>
      <c r="C238" s="9" t="str">
        <f t="shared" ref="C238:C239" si="21">HYPERLINK("https://en.wikipedia.org/wiki/Sometimes_I_Sit_and_Think,_and_Sometimes_I_Just_Sit","Sometimes I Sit and Think, and Sometimes I Just Sit")</f>
        <v>Sometimes I Sit and Think, and Sometimes I Just Sit</v>
      </c>
      <c r="D238" s="7">
        <v>2015</v>
      </c>
    </row>
    <row r="239" spans="1:4" ht="12.75">
      <c r="A239" s="27" t="s">
        <v>837</v>
      </c>
      <c r="B239" s="28">
        <v>598</v>
      </c>
      <c r="C239" s="29" t="str">
        <f t="shared" si="21"/>
        <v>Sometimes I Sit and Think, and Sometimes I Just Sit</v>
      </c>
      <c r="D239" s="27">
        <v>2015</v>
      </c>
    </row>
    <row r="240" spans="1:4" ht="12.75">
      <c r="A240" s="7" t="s">
        <v>838</v>
      </c>
      <c r="B240" s="8">
        <v>587</v>
      </c>
      <c r="C240" s="9" t="str">
        <f>HYPERLINK("https://en.wikipedia.org/wiki/The_Double_EP:_A_Sea_of_Split_Peas","How to Carve a Carrot Into a Rose")</f>
        <v>How to Carve a Carrot Into a Rose</v>
      </c>
      <c r="D240" s="7">
        <v>2013</v>
      </c>
    </row>
    <row r="241" spans="1:4" ht="12.75">
      <c r="A241" s="27" t="s">
        <v>839</v>
      </c>
      <c r="B241" s="28">
        <v>489</v>
      </c>
      <c r="C241" s="29" t="str">
        <f>HYPERLINK("https://en.wikipedia.org/wiki/Sometimes_I_Sit_and_Think,_and_Sometimes_I_Just_Sit","Sometimes I Sit and Think, and Sometimes I Just Sit")</f>
        <v>Sometimes I Sit and Think, and Sometimes I Just Sit</v>
      </c>
      <c r="D241" s="27">
        <v>2015</v>
      </c>
    </row>
    <row r="242" spans="1:4" ht="12.75">
      <c r="A242" s="7" t="s">
        <v>840</v>
      </c>
      <c r="B242" s="8">
        <v>322</v>
      </c>
      <c r="C242" s="9" t="str">
        <f>HYPERLINK("https://en.wikipedia.org/wiki/Tell_Me_How_You_Really_Feel","Tell Me How You Really Feel")</f>
        <v>Tell Me How You Really Feel</v>
      </c>
      <c r="D242" s="7">
        <v>2018</v>
      </c>
    </row>
    <row r="243" spans="1:4" ht="12.75">
      <c r="A243" s="27" t="s">
        <v>841</v>
      </c>
      <c r="B243" s="28">
        <v>266</v>
      </c>
      <c r="C243" s="29" t="str">
        <f>HYPERLINK("https://en.wikipedia.org/wiki/Sometimes_I_Sit_and_Think,_and_Sometimes_I_Just_Sit","Sometimes I Sit and Think, and Sometimes I Just Sit")</f>
        <v>Sometimes I Sit and Think, and Sometimes I Just Sit</v>
      </c>
      <c r="D243" s="27">
        <v>2015</v>
      </c>
    </row>
    <row r="244" spans="1:4" ht="12.75">
      <c r="A244" s="7" t="s">
        <v>842</v>
      </c>
      <c r="B244" s="8">
        <v>237</v>
      </c>
      <c r="C244" s="9" t="str">
        <f>HYPERLINK("https://en.wikipedia.org/wiki/Tell_Me_How_You_Really_Feel","Tell Me How You Really Feel")</f>
        <v>Tell Me How You Really Feel</v>
      </c>
      <c r="D244" s="7">
        <v>2018</v>
      </c>
    </row>
    <row r="245" spans="1:4" ht="12.75">
      <c r="A245" s="27" t="s">
        <v>843</v>
      </c>
      <c r="B245" s="28">
        <v>233</v>
      </c>
      <c r="C245" s="29" t="str">
        <f>HYPERLINK("https://en.wikipedia.org/wiki/The_Double_EP:_A_Sea_of_Split_Peas","How to Carve a Carrot Into a Rose")</f>
        <v>How to Carve a Carrot Into a Rose</v>
      </c>
      <c r="D245" s="27">
        <v>2013</v>
      </c>
    </row>
    <row r="246" spans="1:4" ht="12.75">
      <c r="A246" s="7" t="s">
        <v>844</v>
      </c>
      <c r="B246" s="8">
        <v>192</v>
      </c>
      <c r="C246" s="9" t="str">
        <f>HYPERLINK("https://en.wikipedia.org/wiki/Sometimes_I_Sit_and_Think,_and_Sometimes_I_Just_Sit","Sometimes I Sit and Think, and Sometimes I Just Sit")</f>
        <v>Sometimes I Sit and Think, and Sometimes I Just Sit</v>
      </c>
      <c r="D246" s="7">
        <v>2015</v>
      </c>
    </row>
    <row r="247" spans="1:4" ht="12.75">
      <c r="A247" s="27" t="s">
        <v>845</v>
      </c>
      <c r="B247" s="28">
        <v>169</v>
      </c>
      <c r="C247" s="29" t="str">
        <f>HYPERLINK("https://en.wikipedia.org/wiki/Tell_Me_How_You_Really_Feel","Tell Me How You Really Feel")</f>
        <v>Tell Me How You Really Feel</v>
      </c>
      <c r="D247" s="27">
        <v>2018</v>
      </c>
    </row>
    <row r="248" spans="1:4" ht="12.75">
      <c r="A248" s="152"/>
      <c r="B248" s="153"/>
      <c r="C248" s="153"/>
      <c r="D248" s="154"/>
    </row>
    <row r="249" spans="1:4" ht="18">
      <c r="A249" s="13" t="s">
        <v>846</v>
      </c>
      <c r="B249" s="47">
        <v>44887</v>
      </c>
      <c r="C249" s="15"/>
      <c r="D249" s="15"/>
    </row>
    <row r="250" spans="1:4" ht="12.75">
      <c r="A250" s="15" t="s">
        <v>2</v>
      </c>
      <c r="B250" s="15" t="s">
        <v>3</v>
      </c>
      <c r="C250" s="15" t="s">
        <v>4</v>
      </c>
      <c r="D250" s="15" t="s">
        <v>5</v>
      </c>
    </row>
    <row r="251" spans="1:4" ht="12.75">
      <c r="A251" s="16" t="s">
        <v>847</v>
      </c>
      <c r="B251" s="16">
        <v>41</v>
      </c>
      <c r="C251" s="16" t="s">
        <v>848</v>
      </c>
      <c r="D251" s="16">
        <v>1969</v>
      </c>
    </row>
    <row r="252" spans="1:4" ht="12.75">
      <c r="A252" s="17" t="s">
        <v>849</v>
      </c>
      <c r="B252" s="17">
        <v>35</v>
      </c>
      <c r="C252" s="17" t="s">
        <v>848</v>
      </c>
      <c r="D252" s="17">
        <v>1968</v>
      </c>
    </row>
    <row r="253" spans="1:4" ht="12.75">
      <c r="A253" s="16" t="s">
        <v>850</v>
      </c>
      <c r="B253" s="16">
        <v>30</v>
      </c>
      <c r="C253" s="16" t="s">
        <v>851</v>
      </c>
      <c r="D253" s="16">
        <v>1970</v>
      </c>
    </row>
    <row r="254" spans="1:4" ht="12.75">
      <c r="A254" s="17" t="s">
        <v>852</v>
      </c>
      <c r="B254" s="17">
        <v>29</v>
      </c>
      <c r="C254" s="17" t="s">
        <v>853</v>
      </c>
      <c r="D254" s="17">
        <v>1974</v>
      </c>
    </row>
    <row r="255" spans="1:4" ht="12.75">
      <c r="A255" s="16" t="s">
        <v>854</v>
      </c>
      <c r="B255" s="16">
        <v>25</v>
      </c>
      <c r="C255" s="16" t="s">
        <v>851</v>
      </c>
      <c r="D255" s="16">
        <v>1970</v>
      </c>
    </row>
    <row r="256" spans="1:4" ht="12.75">
      <c r="A256" s="17" t="s">
        <v>855</v>
      </c>
      <c r="B256" s="17">
        <v>24</v>
      </c>
      <c r="C256" s="17" t="s">
        <v>851</v>
      </c>
      <c r="D256" s="17">
        <v>1970</v>
      </c>
    </row>
    <row r="257" spans="1:4" ht="12.75">
      <c r="A257" s="16" t="s">
        <v>856</v>
      </c>
      <c r="B257" s="16">
        <v>21</v>
      </c>
      <c r="C257" s="16" t="s">
        <v>848</v>
      </c>
      <c r="D257" s="16">
        <v>1969</v>
      </c>
    </row>
    <row r="258" spans="1:4" ht="12.75">
      <c r="A258" s="17" t="s">
        <v>857</v>
      </c>
      <c r="B258" s="17">
        <v>21</v>
      </c>
      <c r="C258" s="17" t="s">
        <v>848</v>
      </c>
      <c r="D258" s="17">
        <v>1969</v>
      </c>
    </row>
    <row r="259" spans="1:4" ht="12.75">
      <c r="A259" s="16" t="s">
        <v>858</v>
      </c>
      <c r="B259" s="16">
        <v>15</v>
      </c>
      <c r="C259" s="16" t="s">
        <v>859</v>
      </c>
      <c r="D259" s="16">
        <v>1980</v>
      </c>
    </row>
    <row r="260" spans="1:4" ht="12.75">
      <c r="A260" s="17" t="s">
        <v>860</v>
      </c>
      <c r="B260" s="17">
        <v>15</v>
      </c>
      <c r="C260" s="17" t="s">
        <v>861</v>
      </c>
      <c r="D260" s="17">
        <v>1982</v>
      </c>
    </row>
    <row r="261" spans="1:4" ht="12.75">
      <c r="A261" s="155"/>
      <c r="B261" s="156"/>
      <c r="C261" s="156"/>
      <c r="D261" s="156"/>
    </row>
    <row r="262" spans="1:4" ht="18">
      <c r="A262" s="22" t="str">
        <f>HYPERLINK("https://www.reddit.com/r/indieheads/comments/4kth09/top_ten_tuesday_crystal_castles/","Crystal Castles")</f>
        <v>Crystal Castles</v>
      </c>
      <c r="B262" s="23">
        <v>42514</v>
      </c>
      <c r="C262" s="24"/>
      <c r="D262" s="59" t="s">
        <v>1</v>
      </c>
    </row>
    <row r="263" spans="1:4" ht="12.75">
      <c r="A263" s="26" t="s">
        <v>2</v>
      </c>
      <c r="B263" s="26" t="s">
        <v>3</v>
      </c>
      <c r="C263" s="26" t="s">
        <v>4</v>
      </c>
      <c r="D263" s="26" t="s">
        <v>5</v>
      </c>
    </row>
    <row r="264" spans="1:4" ht="12.75">
      <c r="A264" s="9" t="str">
        <f>HYPERLINK("https://www.youtube.com/watch?v=32udqal_lyQ","Not in Love")</f>
        <v>Not in Love</v>
      </c>
      <c r="B264" s="8">
        <v>235</v>
      </c>
      <c r="C264" s="9" t="str">
        <f t="shared" ref="C264:C266" si="22">HYPERLINK("https://en.wikipedia.org/wiki/Crystal_Castles_II","(II)")</f>
        <v>(II)</v>
      </c>
      <c r="D264" s="7">
        <v>2010</v>
      </c>
    </row>
    <row r="265" spans="1:4" ht="12.75">
      <c r="A265" s="29" t="str">
        <f>HYPERLINK("https://www.youtube.com/watch?v=r6LXI3pV6y8","Baptism")</f>
        <v>Baptism</v>
      </c>
      <c r="B265" s="28">
        <v>195</v>
      </c>
      <c r="C265" s="29" t="str">
        <f t="shared" si="22"/>
        <v>(II)</v>
      </c>
      <c r="D265" s="27">
        <v>2010</v>
      </c>
    </row>
    <row r="266" spans="1:4" ht="12.75">
      <c r="A266" s="9" t="str">
        <f>HYPERLINK("https://www.youtube.com/watch?v=IsxNUl1IHnE","Celestica")</f>
        <v>Celestica</v>
      </c>
      <c r="B266" s="8">
        <v>190</v>
      </c>
      <c r="C266" s="9" t="str">
        <f t="shared" si="22"/>
        <v>(II)</v>
      </c>
      <c r="D266" s="7">
        <v>2010</v>
      </c>
    </row>
    <row r="267" spans="1:4" ht="12.75">
      <c r="A267" s="29" t="str">
        <f>HYPERLINK("https://www.youtube.com/watch?v=56E8yYgLNHE","Vanished")</f>
        <v>Vanished</v>
      </c>
      <c r="B267" s="28">
        <v>156</v>
      </c>
      <c r="C267" s="29" t="str">
        <f t="shared" ref="C267:C269" si="23">HYPERLINK("https://en.wikipedia.org/wiki/Crystal_Castles_(album)","Crystal Castles")</f>
        <v>Crystal Castles</v>
      </c>
      <c r="D267" s="27">
        <v>2008</v>
      </c>
    </row>
    <row r="268" spans="1:4" ht="12.75">
      <c r="A268" s="9" t="str">
        <f>HYPERLINK("https://www.youtube.com/watch?v=SpwZr5LY6MY","Untrust Us")</f>
        <v>Untrust Us</v>
      </c>
      <c r="B268" s="8">
        <v>153</v>
      </c>
      <c r="C268" s="9" t="str">
        <f t="shared" si="23"/>
        <v>Crystal Castles</v>
      </c>
      <c r="D268" s="7">
        <v>2008</v>
      </c>
    </row>
    <row r="269" spans="1:4" ht="12.75">
      <c r="A269" s="29" t="str">
        <f>HYPERLINK("https://www.youtube.com/watch?v=OCwm08sTA5U","Crimewave")</f>
        <v>Crimewave</v>
      </c>
      <c r="B269" s="28">
        <v>130</v>
      </c>
      <c r="C269" s="29" t="str">
        <f t="shared" si="23"/>
        <v>Crystal Castles</v>
      </c>
      <c r="D269" s="27">
        <v>2007</v>
      </c>
    </row>
    <row r="270" spans="1:4" ht="12.75">
      <c r="A270" s="9" t="str">
        <f>HYPERLINK("https://www.youtube.com/watch?v=I-v3sVWT8pA","Empathy")</f>
        <v>Empathy</v>
      </c>
      <c r="B270" s="8">
        <v>116</v>
      </c>
      <c r="C270" s="9" t="str">
        <f t="shared" ref="C270:C271" si="24">HYPERLINK("https://en.wikipedia.org/wiki/Crystal_Castles_II","(II)")</f>
        <v>(II)</v>
      </c>
      <c r="D270" s="7">
        <v>2010</v>
      </c>
    </row>
    <row r="271" spans="1:4" ht="12.75">
      <c r="A271" s="29" t="str">
        <f>HYPERLINK("https://www.youtube.com/watch?v=VPnuxyxk0AY","Pap Smear")</f>
        <v>Pap Smear</v>
      </c>
      <c r="B271" s="28">
        <v>90</v>
      </c>
      <c r="C271" s="29" t="str">
        <f t="shared" si="24"/>
        <v>(II)</v>
      </c>
      <c r="D271" s="27">
        <v>2010</v>
      </c>
    </row>
    <row r="272" spans="1:4" ht="12.75">
      <c r="A272" s="9" t="str">
        <f>HYPERLINK("https://www.youtube.com/watch?v=qR2QIJdtgiU","Kerosene")</f>
        <v>Kerosene</v>
      </c>
      <c r="B272" s="8">
        <v>74</v>
      </c>
      <c r="C272" s="9" t="str">
        <f>HYPERLINK("https://en.wikipedia.org/wiki/III_(Crystal_Castles_album)","(III)")</f>
        <v>(III)</v>
      </c>
      <c r="D272" s="7">
        <v>2012</v>
      </c>
    </row>
    <row r="273" spans="1:4" ht="12.75">
      <c r="A273" s="29" t="str">
        <f>HYPERLINK("https://www.youtube.com/watch?v=MoSD22Tc_64","Courtship Dating")</f>
        <v>Courtship Dating</v>
      </c>
      <c r="B273" s="28">
        <v>71</v>
      </c>
      <c r="C273" s="29" t="str">
        <f>HYPERLINK("https://en.wikipedia.org/wiki/Crystal_Castles_(album)","Crystal Castles")</f>
        <v>Crystal Castles</v>
      </c>
      <c r="D273" s="27">
        <v>2008</v>
      </c>
    </row>
    <row r="274" spans="1:4" ht="12.75">
      <c r="A274" s="152"/>
      <c r="B274" s="153"/>
      <c r="C274" s="153"/>
      <c r="D274" s="154"/>
    </row>
    <row r="275" spans="1:4" ht="18">
      <c r="A275" s="18" t="s">
        <v>862</v>
      </c>
      <c r="B275" s="36">
        <v>44959</v>
      </c>
      <c r="C275" s="4"/>
      <c r="D275" s="6"/>
    </row>
    <row r="276" spans="1:4" ht="12.75">
      <c r="A276" s="6" t="s">
        <v>2</v>
      </c>
      <c r="B276" s="6" t="s">
        <v>3</v>
      </c>
      <c r="C276" s="6" t="s">
        <v>4</v>
      </c>
      <c r="D276" s="6" t="s">
        <v>5</v>
      </c>
    </row>
    <row r="277" spans="1:4" ht="12.75">
      <c r="A277" s="7" t="s">
        <v>863</v>
      </c>
      <c r="B277" s="8">
        <v>331</v>
      </c>
      <c r="C277" s="19" t="s">
        <v>864</v>
      </c>
      <c r="D277" s="7">
        <v>1987</v>
      </c>
    </row>
    <row r="278" spans="1:4" ht="12.75">
      <c r="A278" s="27" t="s">
        <v>865</v>
      </c>
      <c r="B278" s="11">
        <v>292</v>
      </c>
      <c r="C278" s="20" t="s">
        <v>866</v>
      </c>
      <c r="D278" s="10">
        <v>1989</v>
      </c>
    </row>
    <row r="279" spans="1:4" ht="12.75">
      <c r="A279" s="7" t="s">
        <v>867</v>
      </c>
      <c r="B279" s="8">
        <v>233</v>
      </c>
      <c r="C279" s="19" t="s">
        <v>868</v>
      </c>
      <c r="D279" s="7">
        <v>1980</v>
      </c>
    </row>
    <row r="280" spans="1:4" ht="12.75">
      <c r="A280" s="27" t="s">
        <v>866</v>
      </c>
      <c r="B280" s="11">
        <v>218</v>
      </c>
      <c r="C280" s="20" t="s">
        <v>866</v>
      </c>
      <c r="D280" s="10">
        <v>1989</v>
      </c>
    </row>
    <row r="281" spans="1:4" ht="12.75">
      <c r="A281" s="7" t="s">
        <v>869</v>
      </c>
      <c r="B281" s="8">
        <v>210</v>
      </c>
      <c r="C281" s="19" t="s">
        <v>870</v>
      </c>
      <c r="D281" s="7">
        <v>1985</v>
      </c>
    </row>
    <row r="282" spans="1:4" ht="12.75">
      <c r="A282" s="27" t="s">
        <v>871</v>
      </c>
      <c r="B282" s="11">
        <v>147</v>
      </c>
      <c r="C282" s="20" t="s">
        <v>866</v>
      </c>
      <c r="D282" s="10">
        <v>1989</v>
      </c>
    </row>
    <row r="283" spans="1:4" ht="12.75">
      <c r="A283" s="7" t="s">
        <v>872</v>
      </c>
      <c r="B283" s="8">
        <v>135</v>
      </c>
      <c r="C283" s="19" t="s">
        <v>866</v>
      </c>
      <c r="D283" s="7">
        <v>1989</v>
      </c>
    </row>
    <row r="284" spans="1:4" ht="12.75">
      <c r="A284" s="27" t="s">
        <v>873</v>
      </c>
      <c r="B284" s="11">
        <v>131</v>
      </c>
      <c r="C284" s="20" t="s">
        <v>870</v>
      </c>
      <c r="D284" s="10">
        <v>1985</v>
      </c>
    </row>
    <row r="285" spans="1:4" ht="12.75">
      <c r="A285" s="7" t="s">
        <v>874</v>
      </c>
      <c r="B285" s="8">
        <v>130</v>
      </c>
      <c r="C285" s="19" t="s">
        <v>874</v>
      </c>
      <c r="D285" s="7">
        <v>1979</v>
      </c>
    </row>
    <row r="286" spans="1:4" ht="12.75">
      <c r="A286" s="27" t="s">
        <v>875</v>
      </c>
      <c r="B286" s="28">
        <v>108</v>
      </c>
      <c r="C286" s="35" t="s">
        <v>876</v>
      </c>
      <c r="D286" s="27">
        <v>1982</v>
      </c>
    </row>
    <row r="287" spans="1:4" ht="12.75">
      <c r="A287" s="152"/>
      <c r="B287" s="153"/>
      <c r="C287" s="153"/>
      <c r="D287" s="154"/>
    </row>
    <row r="288" spans="1:4" ht="18">
      <c r="A288" s="41" t="s">
        <v>877</v>
      </c>
      <c r="B288" s="30">
        <v>45013</v>
      </c>
      <c r="C288" s="24"/>
      <c r="D288" s="26"/>
    </row>
    <row r="289" spans="1:4" ht="12.75">
      <c r="A289" s="26" t="s">
        <v>2</v>
      </c>
      <c r="B289" s="26" t="s">
        <v>3</v>
      </c>
      <c r="C289" s="26" t="s">
        <v>4</v>
      </c>
      <c r="D289" s="26" t="s">
        <v>5</v>
      </c>
    </row>
    <row r="290" spans="1:4" ht="12.75">
      <c r="A290" s="7" t="s">
        <v>878</v>
      </c>
      <c r="B290" s="8">
        <v>203</v>
      </c>
      <c r="C290" s="19" t="s">
        <v>879</v>
      </c>
      <c r="D290" s="7">
        <v>2001</v>
      </c>
    </row>
    <row r="291" spans="1:4" ht="12.75">
      <c r="A291" s="27" t="s">
        <v>880</v>
      </c>
      <c r="B291" s="28">
        <v>149</v>
      </c>
      <c r="C291" s="35" t="s">
        <v>881</v>
      </c>
      <c r="D291" s="27">
        <v>2013</v>
      </c>
    </row>
    <row r="292" spans="1:4" ht="12.75">
      <c r="A292" s="7" t="s">
        <v>882</v>
      </c>
      <c r="B292" s="8">
        <v>148</v>
      </c>
      <c r="C292" s="19" t="s">
        <v>879</v>
      </c>
      <c r="D292" s="7">
        <v>2001</v>
      </c>
    </row>
    <row r="293" spans="1:4" ht="12.75">
      <c r="A293" s="27" t="s">
        <v>883</v>
      </c>
      <c r="B293" s="28">
        <v>121</v>
      </c>
      <c r="C293" s="35" t="s">
        <v>879</v>
      </c>
      <c r="D293" s="27">
        <v>2001</v>
      </c>
    </row>
    <row r="294" spans="1:4" ht="12.75">
      <c r="A294" s="7" t="s">
        <v>884</v>
      </c>
      <c r="B294" s="8">
        <v>105</v>
      </c>
      <c r="C294" s="19" t="s">
        <v>885</v>
      </c>
      <c r="D294" s="7">
        <v>1997</v>
      </c>
    </row>
    <row r="295" spans="1:4" ht="12.75">
      <c r="A295" s="27" t="s">
        <v>886</v>
      </c>
      <c r="B295" s="28">
        <v>103</v>
      </c>
      <c r="C295" s="35" t="s">
        <v>879</v>
      </c>
      <c r="D295" s="27">
        <v>2001</v>
      </c>
    </row>
    <row r="296" spans="1:4" ht="12.75">
      <c r="A296" s="7" t="s">
        <v>887</v>
      </c>
      <c r="B296" s="8">
        <v>102</v>
      </c>
      <c r="C296" s="19" t="s">
        <v>881</v>
      </c>
      <c r="D296" s="7">
        <v>2013</v>
      </c>
    </row>
    <row r="297" spans="1:4" ht="12.75">
      <c r="A297" s="27" t="s">
        <v>888</v>
      </c>
      <c r="B297" s="28">
        <v>101</v>
      </c>
      <c r="C297" s="35" t="s">
        <v>879</v>
      </c>
      <c r="D297" s="27">
        <v>2001</v>
      </c>
    </row>
    <row r="298" spans="1:4" ht="12.75">
      <c r="A298" s="7" t="s">
        <v>889</v>
      </c>
      <c r="B298" s="8">
        <v>91</v>
      </c>
      <c r="C298" s="19" t="s">
        <v>885</v>
      </c>
      <c r="D298" s="7">
        <v>1997</v>
      </c>
    </row>
    <row r="299" spans="1:4" ht="12.75">
      <c r="A299" s="27" t="s">
        <v>890</v>
      </c>
      <c r="B299" s="28">
        <v>71</v>
      </c>
      <c r="C299" s="35" t="s">
        <v>879</v>
      </c>
      <c r="D299" s="27">
        <v>2001</v>
      </c>
    </row>
    <row r="300" spans="1:4" ht="12.75">
      <c r="A300" s="152"/>
      <c r="B300" s="153"/>
      <c r="C300" s="153"/>
      <c r="D300" s="154"/>
    </row>
    <row r="301" spans="1:4" ht="18">
      <c r="A301" s="22" t="s">
        <v>891</v>
      </c>
      <c r="B301" s="30">
        <v>44278</v>
      </c>
      <c r="C301" s="24"/>
      <c r="D301" s="32" t="s">
        <v>1</v>
      </c>
    </row>
    <row r="302" spans="1:4" ht="12.75">
      <c r="A302" s="26" t="s">
        <v>2</v>
      </c>
      <c r="B302" s="26" t="s">
        <v>3</v>
      </c>
      <c r="C302" s="26" t="s">
        <v>4</v>
      </c>
      <c r="D302" s="26" t="s">
        <v>5</v>
      </c>
    </row>
    <row r="303" spans="1:4" ht="12.75">
      <c r="A303" s="7" t="s">
        <v>892</v>
      </c>
      <c r="B303" s="8">
        <v>141</v>
      </c>
      <c r="C303" s="9" t="s">
        <v>893</v>
      </c>
      <c r="D303" s="7">
        <v>2007</v>
      </c>
    </row>
    <row r="304" spans="1:4" ht="12.75">
      <c r="A304" s="27" t="s">
        <v>894</v>
      </c>
      <c r="B304" s="11">
        <v>132</v>
      </c>
      <c r="C304" s="29" t="s">
        <v>895</v>
      </c>
      <c r="D304" s="27">
        <v>2015</v>
      </c>
    </row>
    <row r="305" spans="1:4" ht="12.75">
      <c r="A305" s="7" t="s">
        <v>896</v>
      </c>
      <c r="B305" s="8">
        <v>104</v>
      </c>
      <c r="C305" s="9" t="s">
        <v>897</v>
      </c>
      <c r="D305" s="7">
        <v>2012</v>
      </c>
    </row>
    <row r="306" spans="1:4" ht="12.75">
      <c r="A306" s="27" t="s">
        <v>898</v>
      </c>
      <c r="B306" s="28">
        <v>96</v>
      </c>
      <c r="C306" s="29" t="s">
        <v>899</v>
      </c>
      <c r="D306" s="27">
        <v>2009</v>
      </c>
    </row>
    <row r="307" spans="1:4" ht="12.75">
      <c r="A307" s="7" t="s">
        <v>900</v>
      </c>
      <c r="B307" s="8">
        <v>73</v>
      </c>
      <c r="C307" s="9" t="s">
        <v>899</v>
      </c>
      <c r="D307" s="7">
        <v>2009</v>
      </c>
    </row>
    <row r="308" spans="1:4" ht="12.75">
      <c r="A308" s="27" t="s">
        <v>901</v>
      </c>
      <c r="B308" s="28">
        <v>69</v>
      </c>
      <c r="C308" s="29" t="s">
        <v>895</v>
      </c>
      <c r="D308" s="27">
        <v>2015</v>
      </c>
    </row>
    <row r="309" spans="1:4" ht="12.75">
      <c r="A309" s="7" t="s">
        <v>902</v>
      </c>
      <c r="B309" s="8">
        <v>59</v>
      </c>
      <c r="C309" s="9" t="s">
        <v>895</v>
      </c>
      <c r="D309" s="7">
        <v>2015</v>
      </c>
    </row>
    <row r="310" spans="1:4" ht="12.75">
      <c r="A310" s="27" t="s">
        <v>903</v>
      </c>
      <c r="B310" s="28">
        <v>55</v>
      </c>
      <c r="C310" s="29" t="s">
        <v>904</v>
      </c>
      <c r="D310" s="27">
        <v>2020</v>
      </c>
    </row>
    <row r="311" spans="1:4" ht="12.75">
      <c r="A311" s="7" t="s">
        <v>905</v>
      </c>
      <c r="B311" s="8">
        <v>51</v>
      </c>
      <c r="C311" s="9" t="s">
        <v>893</v>
      </c>
      <c r="D311" s="7">
        <v>2007</v>
      </c>
    </row>
    <row r="312" spans="1:4" ht="12.75">
      <c r="A312" s="27" t="s">
        <v>906</v>
      </c>
      <c r="B312" s="28">
        <v>47</v>
      </c>
      <c r="C312" s="29" t="s">
        <v>904</v>
      </c>
      <c r="D312" s="27">
        <v>2020</v>
      </c>
    </row>
    <row r="313" spans="1:4" ht="12.75">
      <c r="A313" s="152"/>
      <c r="B313" s="153"/>
      <c r="C313" s="153"/>
      <c r="D313" s="154"/>
    </row>
    <row r="314" spans="1:4" ht="18">
      <c r="A314" s="22" t="str">
        <f>HYPERLINK("https://www.reddit.com/r/indieheads/comments/8laukk/top_ten_tuesday_daniel_johnston/","Daniel Johnston")</f>
        <v>Daniel Johnston</v>
      </c>
      <c r="B314" s="30">
        <v>43242</v>
      </c>
      <c r="C314" s="24"/>
      <c r="D314" s="26"/>
    </row>
    <row r="315" spans="1:4" ht="12.75">
      <c r="A315" s="26" t="s">
        <v>2</v>
      </c>
      <c r="B315" s="26" t="s">
        <v>3</v>
      </c>
      <c r="C315" s="26" t="s">
        <v>4</v>
      </c>
      <c r="D315" s="26" t="s">
        <v>5</v>
      </c>
    </row>
    <row r="316" spans="1:4" ht="12.75">
      <c r="A316" s="7" t="s">
        <v>907</v>
      </c>
      <c r="B316" s="8">
        <v>90</v>
      </c>
      <c r="C316" s="9" t="str">
        <f>HYPERLINK("https://en.wikipedia.org/wiki/Retired_Boxer","Retired Boxer")</f>
        <v>Retired Boxer</v>
      </c>
      <c r="D316" s="7">
        <v>1985</v>
      </c>
    </row>
    <row r="317" spans="1:4" ht="12.75">
      <c r="A317" s="27" t="s">
        <v>908</v>
      </c>
      <c r="B317" s="28">
        <v>90</v>
      </c>
      <c r="C317" s="29" t="str">
        <f>HYPERLINK("https://en.wikipedia.org/wiki/1990_(Daniel_Johnston_album)","1990")</f>
        <v>1990</v>
      </c>
      <c r="D317" s="27">
        <v>1990</v>
      </c>
    </row>
    <row r="318" spans="1:4" ht="12.75">
      <c r="A318" s="7" t="s">
        <v>909</v>
      </c>
      <c r="B318" s="8">
        <v>73</v>
      </c>
      <c r="C318" s="9" t="str">
        <f>HYPERLINK("https://en.wikipedia.org/wiki/Hi,_How_Are_You","Hi, How Are You")</f>
        <v>Hi, How Are You</v>
      </c>
      <c r="D318" s="7">
        <v>1983</v>
      </c>
    </row>
    <row r="319" spans="1:4" ht="12.75">
      <c r="A319" s="27" t="s">
        <v>910</v>
      </c>
      <c r="B319" s="28">
        <v>65</v>
      </c>
      <c r="C319" s="29" t="str">
        <f>HYPERLINK("https://en.wikipedia.org/wiki/Don%27t_Be_Scared","Don't Be Scared")</f>
        <v>Don't Be Scared</v>
      </c>
      <c r="D319" s="27">
        <v>1982</v>
      </c>
    </row>
    <row r="320" spans="1:4" ht="12.75">
      <c r="A320" s="7" t="s">
        <v>911</v>
      </c>
      <c r="B320" s="8">
        <v>50</v>
      </c>
      <c r="C320" s="9" t="str">
        <f>HYPERLINK("https://en.wikipedia.org/wiki/1990_(Daniel_Johnston_album)","1990")</f>
        <v>1990</v>
      </c>
      <c r="D320" s="7">
        <v>1990</v>
      </c>
    </row>
    <row r="321" spans="1:4" ht="12.75">
      <c r="A321" s="27" t="s">
        <v>912</v>
      </c>
      <c r="B321" s="28">
        <v>47</v>
      </c>
      <c r="C321" s="29" t="str">
        <f>HYPERLINK("https://en.wikipedia.org/wiki/Hi,_How_Are_You","Hi, How Are You")</f>
        <v>Hi, How Are You</v>
      </c>
      <c r="D321" s="27">
        <v>1983</v>
      </c>
    </row>
    <row r="322" spans="1:4" ht="12.75">
      <c r="A322" s="7" t="s">
        <v>913</v>
      </c>
      <c r="B322" s="8">
        <v>47</v>
      </c>
      <c r="C322" s="9" t="str">
        <f t="shared" ref="C322:C323" si="25">HYPERLINK("https://en.wikipedia.org/wiki/Yip/Jump_Music","Yip/Jump Music")</f>
        <v>Yip/Jump Music</v>
      </c>
      <c r="D322" s="7">
        <v>1983</v>
      </c>
    </row>
    <row r="323" spans="1:4" ht="12.75">
      <c r="A323" s="27" t="s">
        <v>914</v>
      </c>
      <c r="B323" s="28">
        <v>29</v>
      </c>
      <c r="C323" s="29" t="str">
        <f t="shared" si="25"/>
        <v>Yip/Jump Music</v>
      </c>
      <c r="D323" s="27">
        <v>1983</v>
      </c>
    </row>
    <row r="324" spans="1:4" ht="12.75">
      <c r="A324" s="7" t="s">
        <v>915</v>
      </c>
      <c r="B324" s="8">
        <v>26</v>
      </c>
      <c r="C324" s="9" t="str">
        <f>HYPERLINK("https://en.wikipedia.org/wiki/Don%27t_Be_Scared","Don't Be Scared")</f>
        <v>Don't Be Scared</v>
      </c>
      <c r="D324" s="7">
        <v>1982</v>
      </c>
    </row>
    <row r="325" spans="1:4" ht="12.75">
      <c r="A325" s="27" t="s">
        <v>916</v>
      </c>
      <c r="B325" s="28">
        <v>20</v>
      </c>
      <c r="C325" s="29" t="str">
        <f>HYPERLINK("https://en.wikipedia.org/wiki/Yip/Jump_Music","Yip/Jump Music")</f>
        <v>Yip/Jump Music</v>
      </c>
      <c r="D325" s="27">
        <v>1983</v>
      </c>
    </row>
    <row r="326" spans="1:4" ht="12.75">
      <c r="A326" s="152"/>
      <c r="B326" s="153"/>
      <c r="C326" s="153"/>
      <c r="D326" s="154"/>
    </row>
    <row r="327" spans="1:4" ht="18">
      <c r="A327" s="22" t="s">
        <v>917</v>
      </c>
      <c r="B327" s="24"/>
      <c r="C327" s="24"/>
      <c r="D327" s="32" t="s">
        <v>1</v>
      </c>
    </row>
    <row r="328" spans="1:4" ht="12.75">
      <c r="A328" s="26" t="s">
        <v>2</v>
      </c>
      <c r="B328" s="26" t="s">
        <v>3</v>
      </c>
      <c r="C328" s="26" t="s">
        <v>4</v>
      </c>
      <c r="D328" s="26" t="s">
        <v>5</v>
      </c>
    </row>
    <row r="329" spans="1:4" ht="12.75">
      <c r="A329" s="7" t="s">
        <v>918</v>
      </c>
      <c r="B329" s="8">
        <v>120</v>
      </c>
      <c r="C329" s="9" t="s">
        <v>919</v>
      </c>
      <c r="D329" s="7">
        <v>2016</v>
      </c>
    </row>
    <row r="330" spans="1:4" ht="12.75">
      <c r="A330" s="27" t="s">
        <v>920</v>
      </c>
      <c r="B330" s="28">
        <v>115</v>
      </c>
      <c r="C330" s="29" t="s">
        <v>919</v>
      </c>
      <c r="D330" s="27">
        <v>2016</v>
      </c>
    </row>
    <row r="331" spans="1:4" ht="12.75">
      <c r="A331" s="40">
        <v>30</v>
      </c>
      <c r="B331" s="8">
        <v>109</v>
      </c>
      <c r="C331" s="9" t="s">
        <v>921</v>
      </c>
      <c r="D331" s="7">
        <v>2011</v>
      </c>
    </row>
    <row r="332" spans="1:4" ht="12.75">
      <c r="A332" s="27" t="s">
        <v>922</v>
      </c>
      <c r="B332" s="28">
        <v>98</v>
      </c>
      <c r="C332" s="29" t="s">
        <v>919</v>
      </c>
      <c r="D332" s="27">
        <v>2016</v>
      </c>
    </row>
    <row r="333" spans="1:4" ht="12.75">
      <c r="A333" s="7" t="s">
        <v>923</v>
      </c>
      <c r="B333" s="8">
        <v>56</v>
      </c>
      <c r="C333" s="64" t="s">
        <v>924</v>
      </c>
      <c r="D333" s="7">
        <v>2019</v>
      </c>
    </row>
    <row r="334" spans="1:4" ht="12.75">
      <c r="A334" s="27" t="s">
        <v>925</v>
      </c>
      <c r="B334" s="28">
        <v>49</v>
      </c>
      <c r="C334" s="29" t="s">
        <v>919</v>
      </c>
      <c r="D334" s="27">
        <v>2016</v>
      </c>
    </row>
    <row r="335" spans="1:4" ht="12.75">
      <c r="A335" s="7" t="s">
        <v>926</v>
      </c>
      <c r="B335" s="8">
        <v>49</v>
      </c>
      <c r="C335" s="7" t="s">
        <v>927</v>
      </c>
      <c r="D335" s="7">
        <v>2012</v>
      </c>
    </row>
    <row r="336" spans="1:4" ht="12.75">
      <c r="A336" s="27" t="s">
        <v>928</v>
      </c>
      <c r="B336" s="28">
        <v>47</v>
      </c>
      <c r="C336" s="29" t="s">
        <v>921</v>
      </c>
      <c r="D336" s="27">
        <v>2011</v>
      </c>
    </row>
    <row r="337" spans="1:4" ht="12.75">
      <c r="A337" s="7" t="s">
        <v>929</v>
      </c>
      <c r="B337" s="8">
        <v>45</v>
      </c>
      <c r="C337" s="9" t="s">
        <v>919</v>
      </c>
      <c r="D337" s="7">
        <v>2016</v>
      </c>
    </row>
    <row r="338" spans="1:4" ht="12.75">
      <c r="A338" s="27" t="s">
        <v>930</v>
      </c>
      <c r="B338" s="28">
        <v>40</v>
      </c>
      <c r="C338" s="29" t="s">
        <v>919</v>
      </c>
      <c r="D338" s="27">
        <v>2016</v>
      </c>
    </row>
    <row r="339" spans="1:4" ht="12.75">
      <c r="A339" s="152"/>
      <c r="B339" s="153"/>
      <c r="C339" s="153"/>
      <c r="D339" s="154"/>
    </row>
    <row r="340" spans="1:4" ht="18">
      <c r="A340" s="41" t="s">
        <v>931</v>
      </c>
      <c r="B340" s="23">
        <v>44821</v>
      </c>
      <c r="C340" s="24"/>
      <c r="D340" s="24"/>
    </row>
    <row r="341" spans="1:4" ht="12.75">
      <c r="A341" s="26" t="s">
        <v>2</v>
      </c>
      <c r="B341" s="26" t="s">
        <v>3</v>
      </c>
      <c r="C341" s="26" t="s">
        <v>4</v>
      </c>
      <c r="D341" s="26" t="s">
        <v>5</v>
      </c>
    </row>
    <row r="342" spans="1:4" ht="12.75">
      <c r="A342" s="7" t="s">
        <v>932</v>
      </c>
      <c r="B342" s="8">
        <v>428</v>
      </c>
      <c r="C342" s="19" t="s">
        <v>932</v>
      </c>
      <c r="D342" s="7">
        <v>1977</v>
      </c>
    </row>
    <row r="343" spans="1:4" ht="12.75">
      <c r="A343" s="27" t="s">
        <v>933</v>
      </c>
      <c r="B343" s="28">
        <v>353</v>
      </c>
      <c r="C343" s="35" t="s">
        <v>934</v>
      </c>
      <c r="D343" s="27">
        <v>1971</v>
      </c>
    </row>
    <row r="344" spans="1:4" ht="12.75">
      <c r="A344" s="7" t="s">
        <v>935</v>
      </c>
      <c r="B344" s="8">
        <v>308</v>
      </c>
      <c r="C344" s="19" t="s">
        <v>935</v>
      </c>
      <c r="D344" s="7">
        <v>1976</v>
      </c>
    </row>
    <row r="345" spans="1:4" ht="12.75">
      <c r="A345" s="65" t="s">
        <v>936</v>
      </c>
      <c r="B345" s="66">
        <v>284</v>
      </c>
      <c r="C345" s="67" t="s">
        <v>937</v>
      </c>
      <c r="D345" s="65">
        <v>1977</v>
      </c>
    </row>
    <row r="346" spans="1:4" ht="12.75">
      <c r="A346" s="7" t="s">
        <v>938</v>
      </c>
      <c r="B346" s="8">
        <v>247</v>
      </c>
      <c r="C346" s="19" t="s">
        <v>939</v>
      </c>
      <c r="D346" s="7">
        <v>1980</v>
      </c>
    </row>
    <row r="347" spans="1:4" ht="12.75">
      <c r="A347" s="65" t="s">
        <v>940</v>
      </c>
      <c r="B347" s="66">
        <v>221</v>
      </c>
      <c r="C347" s="67" t="s">
        <v>941</v>
      </c>
      <c r="D347" s="65">
        <v>1972</v>
      </c>
    </row>
    <row r="348" spans="1:4" ht="12.75">
      <c r="A348" s="7" t="s">
        <v>942</v>
      </c>
      <c r="B348" s="8">
        <v>205</v>
      </c>
      <c r="C348" s="19" t="s">
        <v>941</v>
      </c>
      <c r="D348" s="7">
        <v>1972</v>
      </c>
    </row>
    <row r="349" spans="1:4" ht="12.75">
      <c r="A349" s="27" t="s">
        <v>943</v>
      </c>
      <c r="B349" s="28">
        <v>179</v>
      </c>
      <c r="C349" s="35" t="s">
        <v>943</v>
      </c>
      <c r="D349" s="27">
        <v>1975</v>
      </c>
    </row>
    <row r="350" spans="1:4" ht="12.75">
      <c r="A350" s="7" t="s">
        <v>944</v>
      </c>
      <c r="B350" s="8">
        <v>177</v>
      </c>
      <c r="C350" s="19" t="s">
        <v>944</v>
      </c>
      <c r="D350" s="7">
        <v>1969</v>
      </c>
    </row>
    <row r="351" spans="1:4" ht="12.75">
      <c r="A351" s="65" t="s">
        <v>945</v>
      </c>
      <c r="B351" s="66">
        <v>149</v>
      </c>
      <c r="C351" s="67" t="s">
        <v>946</v>
      </c>
      <c r="D351" s="65">
        <v>1983</v>
      </c>
    </row>
    <row r="352" spans="1:4" ht="12.75">
      <c r="A352" s="155"/>
      <c r="B352" s="156"/>
      <c r="C352" s="156"/>
      <c r="D352" s="156"/>
    </row>
    <row r="353" spans="1:4" ht="18">
      <c r="A353" s="13" t="s">
        <v>947</v>
      </c>
      <c r="B353" s="14">
        <v>44971</v>
      </c>
      <c r="C353" s="48"/>
      <c r="D353" s="48"/>
    </row>
    <row r="354" spans="1:4" ht="12.75">
      <c r="A354" s="15" t="s">
        <v>2</v>
      </c>
      <c r="B354" s="15" t="s">
        <v>3</v>
      </c>
      <c r="C354" s="15" t="s">
        <v>4</v>
      </c>
      <c r="D354" s="15" t="s">
        <v>5</v>
      </c>
    </row>
    <row r="355" spans="1:4" ht="12.75">
      <c r="A355" s="16" t="s">
        <v>948</v>
      </c>
      <c r="B355" s="16">
        <v>89</v>
      </c>
      <c r="C355" s="16" t="s">
        <v>949</v>
      </c>
      <c r="D355" s="16">
        <v>1980</v>
      </c>
    </row>
    <row r="356" spans="1:4" ht="12.75">
      <c r="A356" s="17" t="s">
        <v>950</v>
      </c>
      <c r="B356" s="17">
        <v>63</v>
      </c>
      <c r="C356" s="17" t="s">
        <v>949</v>
      </c>
      <c r="D356" s="17">
        <v>1980</v>
      </c>
    </row>
    <row r="357" spans="1:4" ht="12.75">
      <c r="A357" s="16" t="s">
        <v>951</v>
      </c>
      <c r="B357" s="16">
        <v>60</v>
      </c>
      <c r="C357" s="16" t="s">
        <v>949</v>
      </c>
      <c r="D357" s="16">
        <v>1980</v>
      </c>
    </row>
    <row r="358" spans="1:4" ht="12.75">
      <c r="A358" s="17" t="s">
        <v>952</v>
      </c>
      <c r="B358" s="17">
        <v>45</v>
      </c>
      <c r="C358" s="17" t="s">
        <v>953</v>
      </c>
      <c r="D358" s="17">
        <v>1980</v>
      </c>
    </row>
    <row r="359" spans="1:4" ht="12.75">
      <c r="A359" s="16" t="s">
        <v>954</v>
      </c>
      <c r="B359" s="16">
        <v>42</v>
      </c>
      <c r="C359" s="16" t="s">
        <v>955</v>
      </c>
      <c r="D359" s="16">
        <v>1981</v>
      </c>
    </row>
    <row r="360" spans="1:4" ht="12.75">
      <c r="A360" s="17" t="s">
        <v>956</v>
      </c>
      <c r="B360" s="17">
        <v>35</v>
      </c>
      <c r="C360" s="17" t="s">
        <v>949</v>
      </c>
      <c r="D360" s="17">
        <v>1980</v>
      </c>
    </row>
    <row r="361" spans="1:4" ht="12.75">
      <c r="A361" s="16" t="s">
        <v>957</v>
      </c>
      <c r="B361" s="16">
        <v>30</v>
      </c>
      <c r="C361" s="16" t="s">
        <v>958</v>
      </c>
      <c r="D361" s="16">
        <v>1981</v>
      </c>
    </row>
    <row r="362" spans="1:4" ht="12.75">
      <c r="A362" s="17" t="s">
        <v>959</v>
      </c>
      <c r="B362" s="17">
        <v>29</v>
      </c>
      <c r="C362" s="17" t="s">
        <v>955</v>
      </c>
      <c r="D362" s="17">
        <v>1981</v>
      </c>
    </row>
    <row r="363" spans="1:4" ht="12.75">
      <c r="A363" s="16" t="s">
        <v>960</v>
      </c>
      <c r="B363" s="16">
        <v>24</v>
      </c>
      <c r="C363" s="16" t="s">
        <v>953</v>
      </c>
      <c r="D363" s="16">
        <v>1980</v>
      </c>
    </row>
    <row r="364" spans="1:4" ht="12.75">
      <c r="A364" s="17" t="s">
        <v>961</v>
      </c>
      <c r="B364" s="17">
        <v>23</v>
      </c>
      <c r="C364" s="17" t="s">
        <v>949</v>
      </c>
      <c r="D364" s="17">
        <v>1980</v>
      </c>
    </row>
    <row r="365" spans="1:4" ht="12.75">
      <c r="A365" s="155"/>
      <c r="B365" s="156"/>
      <c r="C365" s="156"/>
      <c r="D365" s="156"/>
    </row>
    <row r="366" spans="1:4" ht="18">
      <c r="A366" s="22" t="s">
        <v>962</v>
      </c>
      <c r="B366" s="30">
        <v>44642</v>
      </c>
      <c r="C366" s="24"/>
      <c r="D366" s="32" t="s">
        <v>1</v>
      </c>
    </row>
    <row r="367" spans="1:4" ht="12.75">
      <c r="A367" s="26" t="s">
        <v>2</v>
      </c>
      <c r="B367" s="26" t="s">
        <v>3</v>
      </c>
      <c r="C367" s="26" t="s">
        <v>4</v>
      </c>
      <c r="D367" s="26" t="s">
        <v>5</v>
      </c>
    </row>
    <row r="368" spans="1:4" ht="12.75">
      <c r="A368" s="7" t="s">
        <v>963</v>
      </c>
      <c r="B368" s="8">
        <v>159</v>
      </c>
      <c r="C368" s="9" t="s">
        <v>964</v>
      </c>
      <c r="D368" s="7">
        <v>2013</v>
      </c>
    </row>
    <row r="369" spans="1:4" ht="12.75">
      <c r="A369" s="27" t="s">
        <v>965</v>
      </c>
      <c r="B369" s="28">
        <v>111</v>
      </c>
      <c r="C369" s="12" t="s">
        <v>964</v>
      </c>
      <c r="D369" s="10">
        <v>2013</v>
      </c>
    </row>
    <row r="370" spans="1:4" ht="12.75">
      <c r="A370" s="7" t="s">
        <v>964</v>
      </c>
      <c r="B370" s="8">
        <v>92</v>
      </c>
      <c r="C370" s="9" t="s">
        <v>964</v>
      </c>
      <c r="D370" s="7">
        <v>2013</v>
      </c>
    </row>
    <row r="371" spans="1:4" ht="12.75">
      <c r="A371" s="27" t="s">
        <v>966</v>
      </c>
      <c r="B371" s="28">
        <v>92</v>
      </c>
      <c r="C371" s="29" t="s">
        <v>967</v>
      </c>
      <c r="D371" s="27">
        <v>2018</v>
      </c>
    </row>
    <row r="372" spans="1:4" ht="12.75">
      <c r="A372" s="7" t="s">
        <v>968</v>
      </c>
      <c r="B372" s="8">
        <v>91</v>
      </c>
      <c r="C372" s="9" t="s">
        <v>967</v>
      </c>
      <c r="D372" s="7">
        <v>2018</v>
      </c>
    </row>
    <row r="373" spans="1:4" ht="12.75">
      <c r="A373" s="27" t="s">
        <v>519</v>
      </c>
      <c r="B373" s="28">
        <v>70</v>
      </c>
      <c r="C373" s="29" t="s">
        <v>969</v>
      </c>
      <c r="D373" s="27">
        <v>2015</v>
      </c>
    </row>
    <row r="374" spans="1:4" ht="12.75">
      <c r="A374" s="7" t="s">
        <v>970</v>
      </c>
      <c r="B374" s="8">
        <v>67</v>
      </c>
      <c r="C374" s="9" t="s">
        <v>971</v>
      </c>
      <c r="D374" s="7">
        <v>2021</v>
      </c>
    </row>
    <row r="375" spans="1:4" ht="12.75">
      <c r="A375" s="27" t="s">
        <v>972</v>
      </c>
      <c r="B375" s="28">
        <v>65</v>
      </c>
      <c r="C375" s="12" t="s">
        <v>964</v>
      </c>
      <c r="D375" s="10">
        <v>2013</v>
      </c>
    </row>
    <row r="376" spans="1:4" ht="12.75">
      <c r="A376" s="7" t="s">
        <v>973</v>
      </c>
      <c r="B376" s="8">
        <v>63</v>
      </c>
      <c r="C376" s="9" t="s">
        <v>971</v>
      </c>
      <c r="D376" s="7">
        <v>2021</v>
      </c>
    </row>
    <row r="377" spans="1:4" ht="12.75">
      <c r="A377" s="27" t="s">
        <v>974</v>
      </c>
      <c r="B377" s="28">
        <v>58</v>
      </c>
      <c r="C377" s="29" t="s">
        <v>969</v>
      </c>
      <c r="D377" s="27">
        <v>2015</v>
      </c>
    </row>
    <row r="378" spans="1:4" ht="12.75">
      <c r="A378" s="152"/>
      <c r="B378" s="153"/>
      <c r="C378" s="153"/>
      <c r="D378" s="154"/>
    </row>
    <row r="379" spans="1:4" ht="18">
      <c r="A379" s="41" t="s">
        <v>975</v>
      </c>
      <c r="B379" s="23">
        <v>44896</v>
      </c>
      <c r="C379" s="24"/>
      <c r="D379" s="32"/>
    </row>
    <row r="380" spans="1:4" ht="12.75">
      <c r="A380" s="26" t="s">
        <v>2</v>
      </c>
      <c r="B380" s="26" t="s">
        <v>3</v>
      </c>
      <c r="C380" s="26" t="s">
        <v>4</v>
      </c>
      <c r="D380" s="26" t="s">
        <v>5</v>
      </c>
    </row>
    <row r="381" spans="1:4" ht="12.75">
      <c r="A381" s="19" t="s">
        <v>976</v>
      </c>
      <c r="B381" s="8">
        <v>320</v>
      </c>
      <c r="C381" s="19" t="s">
        <v>976</v>
      </c>
      <c r="D381" s="7">
        <v>2003</v>
      </c>
    </row>
    <row r="382" spans="1:4" ht="12.75">
      <c r="A382" s="35" t="s">
        <v>977</v>
      </c>
      <c r="B382" s="28">
        <v>165</v>
      </c>
      <c r="C382" s="35" t="s">
        <v>978</v>
      </c>
      <c r="D382" s="27">
        <v>2001</v>
      </c>
    </row>
    <row r="383" spans="1:4" ht="12.75">
      <c r="A383" s="19" t="s">
        <v>979</v>
      </c>
      <c r="B383" s="8">
        <v>151</v>
      </c>
      <c r="C383" s="19" t="s">
        <v>980</v>
      </c>
      <c r="D383" s="7">
        <v>2005</v>
      </c>
    </row>
    <row r="384" spans="1:4" ht="12.75">
      <c r="A384" s="35" t="s">
        <v>981</v>
      </c>
      <c r="B384" s="28">
        <v>136</v>
      </c>
      <c r="C384" s="35" t="s">
        <v>976</v>
      </c>
      <c r="D384" s="27">
        <v>2003</v>
      </c>
    </row>
    <row r="385" spans="1:4" ht="12.75">
      <c r="A385" s="19" t="s">
        <v>982</v>
      </c>
      <c r="B385" s="8">
        <v>131</v>
      </c>
      <c r="C385" s="19" t="s">
        <v>976</v>
      </c>
      <c r="D385" s="7">
        <v>2003</v>
      </c>
    </row>
    <row r="386" spans="1:4" ht="12.75">
      <c r="A386" s="35" t="s">
        <v>983</v>
      </c>
      <c r="B386" s="28">
        <v>130</v>
      </c>
      <c r="C386" s="35" t="s">
        <v>980</v>
      </c>
      <c r="D386" s="27">
        <v>2005</v>
      </c>
    </row>
    <row r="387" spans="1:4" ht="12.75">
      <c r="A387" s="19" t="s">
        <v>984</v>
      </c>
      <c r="B387" s="8">
        <v>122</v>
      </c>
      <c r="C387" s="19" t="s">
        <v>980</v>
      </c>
      <c r="D387" s="7">
        <v>2005</v>
      </c>
    </row>
    <row r="388" spans="1:4" ht="12.75">
      <c r="A388" s="35" t="s">
        <v>985</v>
      </c>
      <c r="B388" s="28">
        <v>115</v>
      </c>
      <c r="C388" s="35" t="s">
        <v>976</v>
      </c>
      <c r="D388" s="27">
        <v>2003</v>
      </c>
    </row>
    <row r="389" spans="1:4" ht="12.75">
      <c r="A389" s="19" t="s">
        <v>986</v>
      </c>
      <c r="B389" s="8">
        <v>102</v>
      </c>
      <c r="C389" s="19" t="s">
        <v>987</v>
      </c>
      <c r="D389" s="7">
        <v>2008</v>
      </c>
    </row>
    <row r="390" spans="1:4" ht="12.75">
      <c r="A390" s="35" t="s">
        <v>988</v>
      </c>
      <c r="B390" s="28">
        <v>102</v>
      </c>
      <c r="C390" s="35" t="s">
        <v>989</v>
      </c>
      <c r="D390" s="27">
        <v>2000</v>
      </c>
    </row>
    <row r="391" spans="1:4" ht="12.75">
      <c r="A391" s="152"/>
      <c r="B391" s="153"/>
      <c r="C391" s="153"/>
      <c r="D391" s="154"/>
    </row>
    <row r="392" spans="1:4" ht="18">
      <c r="A392" s="22" t="s">
        <v>990</v>
      </c>
      <c r="B392" s="30">
        <v>44670</v>
      </c>
      <c r="C392" s="24"/>
      <c r="D392" s="32" t="s">
        <v>1</v>
      </c>
    </row>
    <row r="393" spans="1:4" ht="12.75">
      <c r="A393" s="33" t="s">
        <v>2</v>
      </c>
      <c r="B393" s="26" t="s">
        <v>3</v>
      </c>
      <c r="C393" s="26" t="s">
        <v>4</v>
      </c>
      <c r="D393" s="26" t="s">
        <v>5</v>
      </c>
    </row>
    <row r="394" spans="1:4" ht="12.75">
      <c r="A394" s="19" t="s">
        <v>991</v>
      </c>
      <c r="B394" s="8">
        <v>134</v>
      </c>
      <c r="C394" s="9" t="s">
        <v>992</v>
      </c>
      <c r="D394" s="7">
        <v>2004</v>
      </c>
    </row>
    <row r="395" spans="1:4" ht="12.75">
      <c r="A395" s="35" t="s">
        <v>993</v>
      </c>
      <c r="B395" s="28">
        <v>98</v>
      </c>
      <c r="C395" s="29" t="s">
        <v>994</v>
      </c>
      <c r="D395" s="27">
        <v>2014</v>
      </c>
    </row>
    <row r="396" spans="1:4" ht="12.75">
      <c r="A396" s="19" t="s">
        <v>995</v>
      </c>
      <c r="B396" s="8">
        <v>91</v>
      </c>
      <c r="C396" s="9" t="s">
        <v>992</v>
      </c>
      <c r="D396" s="7">
        <v>2004</v>
      </c>
    </row>
    <row r="397" spans="1:4" ht="12.75">
      <c r="A397" s="35" t="s">
        <v>996</v>
      </c>
      <c r="B397" s="28">
        <v>80</v>
      </c>
      <c r="C397" s="12" t="s">
        <v>992</v>
      </c>
      <c r="D397" s="10">
        <v>2004</v>
      </c>
    </row>
    <row r="398" spans="1:4" ht="12.75">
      <c r="A398" s="19" t="s">
        <v>997</v>
      </c>
      <c r="B398" s="8">
        <v>74</v>
      </c>
      <c r="C398" s="9" t="s">
        <v>992</v>
      </c>
      <c r="D398" s="7">
        <v>2004</v>
      </c>
    </row>
    <row r="399" spans="1:4" ht="12.75">
      <c r="A399" s="35" t="s">
        <v>998</v>
      </c>
      <c r="B399" s="28">
        <v>59</v>
      </c>
      <c r="C399" s="29" t="s">
        <v>994</v>
      </c>
      <c r="D399" s="27">
        <v>2014</v>
      </c>
    </row>
    <row r="400" spans="1:4" ht="12.75">
      <c r="A400" s="19" t="s">
        <v>999</v>
      </c>
      <c r="B400" s="8">
        <v>57</v>
      </c>
      <c r="C400" s="9" t="s">
        <v>1000</v>
      </c>
      <c r="D400" s="7">
        <v>2017</v>
      </c>
    </row>
    <row r="401" spans="1:4" ht="12.75">
      <c r="A401" s="35" t="s">
        <v>1001</v>
      </c>
      <c r="B401" s="28">
        <v>53</v>
      </c>
      <c r="C401" s="29" t="s">
        <v>1002</v>
      </c>
      <c r="D401" s="27">
        <v>2002</v>
      </c>
    </row>
    <row r="402" spans="1:4" ht="12.75">
      <c r="A402" s="19" t="s">
        <v>1003</v>
      </c>
      <c r="B402" s="8">
        <v>53</v>
      </c>
      <c r="C402" s="9" t="s">
        <v>1000</v>
      </c>
      <c r="D402" s="7">
        <v>2017</v>
      </c>
    </row>
    <row r="403" spans="1:4" ht="12.75">
      <c r="A403" s="35" t="s">
        <v>1004</v>
      </c>
      <c r="B403" s="28">
        <v>49</v>
      </c>
      <c r="C403" s="29" t="s">
        <v>994</v>
      </c>
      <c r="D403" s="27">
        <v>2014</v>
      </c>
    </row>
    <row r="404" spans="1:4" ht="12.75">
      <c r="A404" s="152"/>
      <c r="B404" s="153"/>
      <c r="C404" s="153"/>
      <c r="D404" s="154"/>
    </row>
    <row r="405" spans="1:4" ht="18">
      <c r="A405" s="22" t="str">
        <f>HYPERLINK("https://www.reddit.com/r/indieheads/comments/9sn8ya/top_ten_tuesday_death_grips/","Death Grips")</f>
        <v>Death Grips</v>
      </c>
      <c r="B405" s="23">
        <v>43403</v>
      </c>
      <c r="C405" s="24"/>
      <c r="D405" s="32" t="s">
        <v>1</v>
      </c>
    </row>
    <row r="406" spans="1:4" ht="12.75">
      <c r="A406" s="26" t="s">
        <v>2</v>
      </c>
      <c r="B406" s="26" t="s">
        <v>3</v>
      </c>
      <c r="C406" s="26" t="s">
        <v>4</v>
      </c>
      <c r="D406" s="26" t="s">
        <v>5</v>
      </c>
    </row>
    <row r="407" spans="1:4" ht="12.75">
      <c r="A407" s="7" t="s">
        <v>1005</v>
      </c>
      <c r="B407" s="8">
        <v>699</v>
      </c>
      <c r="C407" s="9" t="str">
        <f>HYPERLINK("https://en.wikipedia.org/wiki/The_Money_Store_(album)","The Money Store")</f>
        <v>The Money Store</v>
      </c>
      <c r="D407" s="7">
        <v>2012</v>
      </c>
    </row>
    <row r="408" spans="1:4" ht="12.75">
      <c r="A408" s="27" t="s">
        <v>1006</v>
      </c>
      <c r="B408" s="28">
        <v>627</v>
      </c>
      <c r="C408" s="29" t="str">
        <f>HYPERLINK("https://en.wikipedia.org/wiki/The_Powers_That_B","The Powers That B (Disc 2: Jenny Death)")</f>
        <v>The Powers That B (Disc 2: Jenny Death)</v>
      </c>
      <c r="D408" s="27">
        <v>2015</v>
      </c>
    </row>
    <row r="409" spans="1:4" ht="12.75">
      <c r="A409" s="7" t="s">
        <v>1007</v>
      </c>
      <c r="B409" s="8">
        <v>368</v>
      </c>
      <c r="C409" s="9" t="str">
        <f>HYPERLINK("https://en.wikipedia.org/wiki/No_Love_Deep_Web","No Love Deep Web")</f>
        <v>No Love Deep Web</v>
      </c>
      <c r="D409" s="7">
        <v>2012</v>
      </c>
    </row>
    <row r="410" spans="1:4" ht="12.75">
      <c r="A410" s="27" t="s">
        <v>1008</v>
      </c>
      <c r="B410" s="28">
        <v>320</v>
      </c>
      <c r="C410" s="29" t="str">
        <f>HYPERLINK("https://en.wikipedia.org/wiki/Exmilitary","Exmilitary")</f>
        <v>Exmilitary</v>
      </c>
      <c r="D410" s="27">
        <v>2011</v>
      </c>
    </row>
    <row r="411" spans="1:4" ht="12.75">
      <c r="A411" s="7" t="s">
        <v>1009</v>
      </c>
      <c r="B411" s="8">
        <v>247</v>
      </c>
      <c r="C411" s="9" t="str">
        <f>HYPERLINK("https://en.wikipedia.org/wiki/The_Money_Store_(album)","The Money Store")</f>
        <v>The Money Store</v>
      </c>
      <c r="D411" s="7">
        <v>2012</v>
      </c>
    </row>
    <row r="412" spans="1:4" ht="12.75">
      <c r="A412" s="10" t="s">
        <v>1010</v>
      </c>
      <c r="B412" s="11">
        <v>247</v>
      </c>
      <c r="C412" s="12" t="str">
        <f>HYPERLINK("https://en.wikipedia.org/wiki/Government_Plates","Government Plates")</f>
        <v>Government Plates</v>
      </c>
      <c r="D412" s="10">
        <v>2013</v>
      </c>
    </row>
    <row r="413" spans="1:4" ht="12.75">
      <c r="A413" s="7" t="s">
        <v>1011</v>
      </c>
      <c r="B413" s="8">
        <v>246</v>
      </c>
      <c r="C413" s="9" t="str">
        <f t="shared" ref="C413:C414" si="26">HYPERLINK("https://en.wikipedia.org/wiki/The_Money_Store_(album)","The Money Store")</f>
        <v>The Money Store</v>
      </c>
      <c r="D413" s="7">
        <v>2012</v>
      </c>
    </row>
    <row r="414" spans="1:4" ht="12.75">
      <c r="A414" s="10" t="s">
        <v>1012</v>
      </c>
      <c r="B414" s="11">
        <v>240</v>
      </c>
      <c r="C414" s="12" t="str">
        <f t="shared" si="26"/>
        <v>The Money Store</v>
      </c>
      <c r="D414" s="10">
        <v>2012</v>
      </c>
    </row>
    <row r="415" spans="1:4" ht="12.75">
      <c r="A415" s="7" t="s">
        <v>1013</v>
      </c>
      <c r="B415" s="8">
        <v>233</v>
      </c>
      <c r="C415" s="9" t="str">
        <f>HYPERLINK("https://en.wikipedia.org/wiki/The_Powers_That_B","The Powers That B (Disc 2: Jenny Death)")</f>
        <v>The Powers That B (Disc 2: Jenny Death)</v>
      </c>
      <c r="D415" s="7">
        <v>2014</v>
      </c>
    </row>
    <row r="416" spans="1:4" ht="12.75">
      <c r="A416" s="27" t="s">
        <v>1014</v>
      </c>
      <c r="B416" s="28">
        <v>230</v>
      </c>
      <c r="C416" s="29" t="str">
        <f>HYPERLINK("https://en.wikipedia.org/wiki/No_Love_Deep_Web","No Love Deep Web")</f>
        <v>No Love Deep Web</v>
      </c>
      <c r="D416" s="27">
        <v>2012</v>
      </c>
    </row>
    <row r="417" spans="1:4" ht="12.75">
      <c r="A417" s="152"/>
      <c r="B417" s="153"/>
      <c r="C417" s="153"/>
      <c r="D417" s="154"/>
    </row>
    <row r="418" spans="1:4" ht="18">
      <c r="A418" s="22" t="str">
        <f>HYPERLINK("https://www.reddit.com/r/indieheads/comments/7m84n6/top_ten_tuesday_the_decemberists/","The Decemberists")</f>
        <v>The Decemberists</v>
      </c>
      <c r="B418" s="43">
        <v>43095</v>
      </c>
      <c r="C418" s="24"/>
      <c r="D418" s="24"/>
    </row>
    <row r="419" spans="1:4" ht="12.75">
      <c r="A419" s="26" t="s">
        <v>2</v>
      </c>
      <c r="B419" s="26" t="s">
        <v>3</v>
      </c>
      <c r="C419" s="26" t="s">
        <v>4</v>
      </c>
      <c r="D419" s="26" t="s">
        <v>5</v>
      </c>
    </row>
    <row r="420" spans="1:4" ht="12.75">
      <c r="A420" s="7" t="s">
        <v>1015</v>
      </c>
      <c r="B420" s="8">
        <v>195</v>
      </c>
      <c r="C420" s="9" t="str">
        <f>HYPERLINK("https://en.wikipedia.org/wiki/The_Crane_Wife","The Crane Wife")</f>
        <v>The Crane Wife</v>
      </c>
      <c r="D420" s="7">
        <v>2006</v>
      </c>
    </row>
    <row r="421" spans="1:4" ht="12.75">
      <c r="A421" s="27" t="s">
        <v>1016</v>
      </c>
      <c r="B421" s="28">
        <v>176</v>
      </c>
      <c r="C421" s="29" t="str">
        <f>HYPERLINK("https://en.wikipedia.org/wiki/Picaresque_(album)","Picaresque")</f>
        <v>Picaresque</v>
      </c>
      <c r="D421" s="27">
        <v>2005</v>
      </c>
    </row>
    <row r="422" spans="1:4" ht="12.75">
      <c r="A422" s="7" t="s">
        <v>1017</v>
      </c>
      <c r="B422" s="8">
        <v>138</v>
      </c>
      <c r="C422" s="9" t="str">
        <f>HYPERLINK("https://en.wikipedia.org/wiki/Castaways_and_Cutouts","Castaways and Cutouts")</f>
        <v>Castaways and Cutouts</v>
      </c>
      <c r="D422" s="7">
        <v>2002</v>
      </c>
    </row>
    <row r="423" spans="1:4" ht="12.75">
      <c r="A423" s="27" t="s">
        <v>1018</v>
      </c>
      <c r="B423" s="28">
        <v>132</v>
      </c>
      <c r="C423" s="29" t="str">
        <f>HYPERLINK("https://en.wikipedia.org/wiki/Picaresque_(album)","Picaresque")</f>
        <v>Picaresque</v>
      </c>
      <c r="D423" s="27">
        <v>2005</v>
      </c>
    </row>
    <row r="424" spans="1:4" ht="12.75">
      <c r="A424" s="7" t="s">
        <v>1019</v>
      </c>
      <c r="B424" s="8">
        <v>131</v>
      </c>
      <c r="C424" s="9" t="str">
        <f>HYPERLINK("https://en.wikipedia.org/wiki/The_Crane_Wife","The Crane Wife")</f>
        <v>The Crane Wife</v>
      </c>
      <c r="D424" s="7">
        <v>2006</v>
      </c>
    </row>
    <row r="425" spans="1:4" ht="12.75">
      <c r="A425" s="27" t="s">
        <v>1020</v>
      </c>
      <c r="B425" s="28">
        <v>112</v>
      </c>
      <c r="C425" s="29" t="str">
        <f>HYPERLINK("https://en.wikipedia.org/wiki/Picaresque_(album)","Picaresque")</f>
        <v>Picaresque</v>
      </c>
      <c r="D425" s="27">
        <v>2005</v>
      </c>
    </row>
    <row r="426" spans="1:4" ht="12.75">
      <c r="A426" s="7" t="s">
        <v>1021</v>
      </c>
      <c r="B426" s="8">
        <v>94</v>
      </c>
      <c r="C426" s="9" t="str">
        <f>HYPERLINK("https://en.wikipedia.org/wiki/The_Crane_Wife","The Crane Wife")</f>
        <v>The Crane Wife</v>
      </c>
      <c r="D426" s="7">
        <v>2006</v>
      </c>
    </row>
    <row r="427" spans="1:4" ht="12.75">
      <c r="A427" s="27" t="s">
        <v>1022</v>
      </c>
      <c r="B427" s="28">
        <v>60</v>
      </c>
      <c r="C427" s="29" t="str">
        <f>HYPERLINK("https://en.wikipedia.org/wiki/Castaways_and_Cutouts","Castaways and Cutouts")</f>
        <v>Castaways and Cutouts</v>
      </c>
      <c r="D427" s="27">
        <v>2002</v>
      </c>
    </row>
    <row r="428" spans="1:4" ht="12.75">
      <c r="A428" s="7" t="s">
        <v>1023</v>
      </c>
      <c r="B428" s="8">
        <v>59</v>
      </c>
      <c r="C428" s="9" t="str">
        <f>HYPERLINK("https://en.wikipedia.org/wiki/Picaresque_(album)","Picaresque")</f>
        <v>Picaresque</v>
      </c>
      <c r="D428" s="7">
        <v>2005</v>
      </c>
    </row>
    <row r="429" spans="1:4" ht="12.75">
      <c r="A429" s="27" t="s">
        <v>1024</v>
      </c>
      <c r="B429" s="28">
        <v>59</v>
      </c>
      <c r="C429" s="29" t="str">
        <f>HYPERLINK("https://en.wikipedia.org/wiki/Castaways_and_Cutouts","Castaways and Cutouts")</f>
        <v>Castaways and Cutouts</v>
      </c>
      <c r="D429" s="27">
        <v>2002</v>
      </c>
    </row>
    <row r="430" spans="1:4" ht="12.75">
      <c r="A430" s="152"/>
      <c r="B430" s="153"/>
      <c r="C430" s="153"/>
      <c r="D430" s="154"/>
    </row>
    <row r="431" spans="1:4" ht="18">
      <c r="A431" s="22" t="s">
        <v>1025</v>
      </c>
      <c r="B431" s="43">
        <v>44159</v>
      </c>
      <c r="C431" s="24"/>
      <c r="D431" s="32" t="s">
        <v>1</v>
      </c>
    </row>
    <row r="432" spans="1:4" ht="12.75">
      <c r="A432" s="26" t="s">
        <v>2</v>
      </c>
      <c r="B432" s="26" t="s">
        <v>3</v>
      </c>
      <c r="C432" s="26" t="s">
        <v>4</v>
      </c>
      <c r="D432" s="26" t="s">
        <v>5</v>
      </c>
    </row>
    <row r="433" spans="1:4" ht="12.75">
      <c r="A433" s="7" t="s">
        <v>1026</v>
      </c>
      <c r="B433" s="8">
        <v>51</v>
      </c>
      <c r="C433" s="9" t="s">
        <v>1026</v>
      </c>
      <c r="D433" s="7">
        <v>2004</v>
      </c>
    </row>
    <row r="434" spans="1:4" ht="12.75">
      <c r="A434" s="27" t="s">
        <v>1027</v>
      </c>
      <c r="B434" s="28">
        <v>34</v>
      </c>
      <c r="C434" s="29" t="s">
        <v>1028</v>
      </c>
      <c r="D434" s="27">
        <v>2007</v>
      </c>
    </row>
    <row r="435" spans="1:4" ht="12.75">
      <c r="A435" s="7" t="s">
        <v>1029</v>
      </c>
      <c r="B435" s="8">
        <v>32</v>
      </c>
      <c r="C435" s="9" t="s">
        <v>1030</v>
      </c>
      <c r="D435" s="7">
        <v>2003</v>
      </c>
    </row>
    <row r="436" spans="1:4" ht="12.75">
      <c r="A436" s="27" t="s">
        <v>1031</v>
      </c>
      <c r="B436" s="28">
        <v>31</v>
      </c>
      <c r="C436" s="29" t="s">
        <v>1032</v>
      </c>
      <c r="D436" s="27">
        <v>2005</v>
      </c>
    </row>
    <row r="437" spans="1:4" ht="12.75">
      <c r="A437" s="7" t="s">
        <v>1033</v>
      </c>
      <c r="B437" s="8">
        <v>31</v>
      </c>
      <c r="C437" s="9" t="s">
        <v>1032</v>
      </c>
      <c r="D437" s="7">
        <v>2005</v>
      </c>
    </row>
    <row r="438" spans="1:4" ht="12.75">
      <c r="A438" s="27" t="s">
        <v>1034</v>
      </c>
      <c r="B438" s="28">
        <v>28</v>
      </c>
      <c r="C438" s="29" t="s">
        <v>1035</v>
      </c>
      <c r="D438" s="27">
        <v>2011</v>
      </c>
    </row>
    <row r="439" spans="1:4" ht="12.75">
      <c r="A439" s="7" t="s">
        <v>1036</v>
      </c>
      <c r="B439" s="8">
        <v>28</v>
      </c>
      <c r="C439" s="9" t="s">
        <v>1032</v>
      </c>
      <c r="D439" s="7">
        <v>2005</v>
      </c>
    </row>
    <row r="440" spans="1:4" ht="12.75">
      <c r="A440" s="27" t="s">
        <v>1037</v>
      </c>
      <c r="B440" s="28">
        <v>24</v>
      </c>
      <c r="C440" s="29" t="s">
        <v>1032</v>
      </c>
      <c r="D440" s="27">
        <v>2005</v>
      </c>
    </row>
    <row r="441" spans="1:4" ht="12.75">
      <c r="A441" s="7" t="s">
        <v>1038</v>
      </c>
      <c r="B441" s="8">
        <v>24</v>
      </c>
      <c r="C441" s="9" t="s">
        <v>1030</v>
      </c>
      <c r="D441" s="7">
        <v>2003</v>
      </c>
    </row>
    <row r="442" spans="1:4" ht="12.75">
      <c r="A442" s="27" t="s">
        <v>1039</v>
      </c>
      <c r="B442" s="28">
        <v>22</v>
      </c>
      <c r="C442" s="29" t="s">
        <v>1040</v>
      </c>
      <c r="D442" s="27">
        <v>2012</v>
      </c>
    </row>
    <row r="443" spans="1:4" ht="12.75">
      <c r="A443" s="152"/>
      <c r="B443" s="153"/>
      <c r="C443" s="153"/>
      <c r="D443" s="154"/>
    </row>
    <row r="444" spans="1:4" ht="18">
      <c r="A444" s="22" t="str">
        <f>HYPERLINK("https://old.reddit.com/r/indieheads/comments/bb6wt5/top_ten_tuesday_deerhunter/","Deerhunter")</f>
        <v>Deerhunter</v>
      </c>
      <c r="B444" s="23">
        <v>43564</v>
      </c>
      <c r="C444" s="24"/>
      <c r="D444" s="32" t="s">
        <v>1</v>
      </c>
    </row>
    <row r="445" spans="1:4" ht="12.75">
      <c r="A445" s="26" t="s">
        <v>2</v>
      </c>
      <c r="B445" s="26" t="s">
        <v>3</v>
      </c>
      <c r="C445" s="26" t="s">
        <v>4</v>
      </c>
      <c r="D445" s="26" t="s">
        <v>5</v>
      </c>
    </row>
    <row r="446" spans="1:4" ht="12.75">
      <c r="A446" s="7" t="s">
        <v>1041</v>
      </c>
      <c r="B446" s="8">
        <v>494</v>
      </c>
      <c r="C446" s="9" t="str">
        <f>HYPERLINK("http://en.wikipedia.org/wiki/Halcyon_Digest","Halcyon Digest")</f>
        <v>Halcyon Digest</v>
      </c>
      <c r="D446" s="7">
        <v>2010</v>
      </c>
    </row>
    <row r="447" spans="1:4" ht="12.75">
      <c r="A447" s="10" t="s">
        <v>1042</v>
      </c>
      <c r="B447" s="11">
        <v>413</v>
      </c>
      <c r="C447" s="12" t="str">
        <f>HYPERLINK("http://en.wikipedia.org/wiki/Microcastle","Microcastle")</f>
        <v>Microcastle</v>
      </c>
      <c r="D447" s="10">
        <v>2008</v>
      </c>
    </row>
    <row r="448" spans="1:4" ht="12.75">
      <c r="A448" s="7" t="s">
        <v>473</v>
      </c>
      <c r="B448" s="8">
        <v>378</v>
      </c>
      <c r="C448" s="9" t="str">
        <f>HYPERLINK("http://en.wikipedia.org/wiki/Halcyon_Digest","Halcyon Digest")</f>
        <v>Halcyon Digest</v>
      </c>
      <c r="D448" s="7">
        <v>2010</v>
      </c>
    </row>
    <row r="449" spans="1:4" ht="12.75">
      <c r="A449" s="10" t="s">
        <v>1043</v>
      </c>
      <c r="B449" s="11">
        <v>365</v>
      </c>
      <c r="C449" s="12" t="str">
        <f>HYPERLINK("http://en.wikipedia.org/wiki/Microcastle","Microcastle")</f>
        <v>Microcastle</v>
      </c>
      <c r="D449" s="10">
        <v>2008</v>
      </c>
    </row>
    <row r="450" spans="1:4" ht="12.75">
      <c r="A450" s="7" t="s">
        <v>1044</v>
      </c>
      <c r="B450" s="8">
        <v>312</v>
      </c>
      <c r="C450" s="9" t="str">
        <f>HYPERLINK("http://en.wikipedia.org/wiki/Halcyon_Digest","Halcyon Digest")</f>
        <v>Halcyon Digest</v>
      </c>
      <c r="D450" s="7">
        <v>2010</v>
      </c>
    </row>
    <row r="451" spans="1:4" ht="12.75">
      <c r="A451" s="27" t="s">
        <v>1045</v>
      </c>
      <c r="B451" s="28">
        <v>133</v>
      </c>
      <c r="C451" s="29" t="str">
        <f>HYPERLINK("http://en.wikipedia.org/wiki/Microcastle","Microcastle")</f>
        <v>Microcastle</v>
      </c>
      <c r="D451" s="27">
        <v>2008</v>
      </c>
    </row>
    <row r="452" spans="1:4" ht="12.75">
      <c r="A452" s="7" t="s">
        <v>1046</v>
      </c>
      <c r="B452" s="8">
        <v>127</v>
      </c>
      <c r="C452" s="9" t="str">
        <f>HYPERLINK("https://en.wikipedia.org/wiki/Monomania_(album)","Monomania")</f>
        <v>Monomania</v>
      </c>
      <c r="D452" s="7">
        <v>2013</v>
      </c>
    </row>
    <row r="453" spans="1:4" ht="12.75">
      <c r="A453" s="10" t="s">
        <v>1047</v>
      </c>
      <c r="B453" s="11">
        <v>125</v>
      </c>
      <c r="C453" s="12" t="str">
        <f>HYPERLINK("https://en.wikipedia.org/wiki/Halcyon_Digest","Halcyon Digest")</f>
        <v>Halcyon Digest</v>
      </c>
      <c r="D453" s="10">
        <v>2010</v>
      </c>
    </row>
    <row r="454" spans="1:4" ht="12.75">
      <c r="A454" s="7" t="s">
        <v>1048</v>
      </c>
      <c r="B454" s="8">
        <v>122</v>
      </c>
      <c r="C454" s="9" t="str">
        <f>HYPERLINK("http://en.wikipedia.org/wiki/Halcyon_Digest","Halcyon Digest")</f>
        <v>Halcyon Digest</v>
      </c>
      <c r="D454" s="7">
        <v>2010</v>
      </c>
    </row>
    <row r="455" spans="1:4" ht="12.75">
      <c r="A455" s="10" t="s">
        <v>1049</v>
      </c>
      <c r="B455" s="11">
        <v>119</v>
      </c>
      <c r="C455" s="12" t="str">
        <f>HYPERLINK("https://en.wikipedia.org/wiki/Microcastle","Microcastle")</f>
        <v>Microcastle</v>
      </c>
      <c r="D455" s="10">
        <v>2008</v>
      </c>
    </row>
    <row r="456" spans="1:4" ht="12.75">
      <c r="A456" s="152"/>
      <c r="B456" s="153"/>
      <c r="C456" s="153"/>
      <c r="D456" s="154"/>
    </row>
    <row r="457" spans="1:4" ht="18">
      <c r="A457" s="2" t="s">
        <v>1050</v>
      </c>
      <c r="B457" s="3">
        <v>43977</v>
      </c>
      <c r="C457" s="4"/>
      <c r="D457" s="5" t="s">
        <v>1</v>
      </c>
    </row>
    <row r="458" spans="1:4" ht="12.75">
      <c r="A458" s="6" t="s">
        <v>2</v>
      </c>
      <c r="B458" s="6" t="s">
        <v>3</v>
      </c>
      <c r="C458" s="6" t="s">
        <v>4</v>
      </c>
      <c r="D458" s="6" t="s">
        <v>5</v>
      </c>
    </row>
    <row r="459" spans="1:4" ht="12.75">
      <c r="A459" s="7" t="s">
        <v>1051</v>
      </c>
      <c r="B459" s="8">
        <v>254</v>
      </c>
      <c r="C459" s="9" t="s">
        <v>1052</v>
      </c>
      <c r="D459" s="7">
        <v>2000</v>
      </c>
    </row>
    <row r="460" spans="1:4" ht="12.75">
      <c r="A460" s="10" t="s">
        <v>1053</v>
      </c>
      <c r="B460" s="11">
        <v>239</v>
      </c>
      <c r="C460" s="12" t="s">
        <v>1054</v>
      </c>
      <c r="D460" s="10">
        <v>1997</v>
      </c>
    </row>
    <row r="461" spans="1:4" ht="12.75">
      <c r="A461" s="7" t="s">
        <v>1055</v>
      </c>
      <c r="B461" s="8">
        <v>185</v>
      </c>
      <c r="C461" s="9" t="s">
        <v>1052</v>
      </c>
      <c r="D461" s="7">
        <v>2000</v>
      </c>
    </row>
    <row r="462" spans="1:4" ht="12.75">
      <c r="A462" s="10" t="s">
        <v>1056</v>
      </c>
      <c r="B462" s="11">
        <v>132</v>
      </c>
      <c r="C462" s="12" t="s">
        <v>1052</v>
      </c>
      <c r="D462" s="10">
        <v>2000</v>
      </c>
    </row>
    <row r="463" spans="1:4" ht="12.75">
      <c r="A463" s="7" t="s">
        <v>1057</v>
      </c>
      <c r="B463" s="8">
        <v>125</v>
      </c>
      <c r="C463" s="9" t="s">
        <v>1052</v>
      </c>
      <c r="D463" s="7">
        <v>2000</v>
      </c>
    </row>
    <row r="464" spans="1:4" ht="12.75">
      <c r="A464" s="10" t="s">
        <v>1058</v>
      </c>
      <c r="B464" s="11">
        <v>125</v>
      </c>
      <c r="C464" s="12" t="s">
        <v>1052</v>
      </c>
      <c r="D464" s="10">
        <v>2000</v>
      </c>
    </row>
    <row r="465" spans="1:4" ht="12.75">
      <c r="A465" s="7" t="s">
        <v>1059</v>
      </c>
      <c r="B465" s="8">
        <v>120</v>
      </c>
      <c r="C465" s="9" t="s">
        <v>1060</v>
      </c>
      <c r="D465" s="7">
        <v>2006</v>
      </c>
    </row>
    <row r="466" spans="1:4" ht="12.75">
      <c r="A466" s="10" t="s">
        <v>1061</v>
      </c>
      <c r="B466" s="11">
        <v>87</v>
      </c>
      <c r="C466" s="12" t="s">
        <v>1062</v>
      </c>
      <c r="D466" s="10">
        <v>2012</v>
      </c>
    </row>
    <row r="467" spans="1:4" ht="12.75">
      <c r="A467" s="7" t="s">
        <v>1063</v>
      </c>
      <c r="B467" s="8">
        <v>83</v>
      </c>
      <c r="C467" s="9" t="s">
        <v>1050</v>
      </c>
      <c r="D467" s="7">
        <v>2003</v>
      </c>
    </row>
    <row r="468" spans="1:4" ht="12.75">
      <c r="A468" s="10" t="s">
        <v>1064</v>
      </c>
      <c r="B468" s="11">
        <v>77</v>
      </c>
      <c r="C468" s="12" t="s">
        <v>1054</v>
      </c>
      <c r="D468" s="10">
        <v>1997</v>
      </c>
    </row>
    <row r="469" spans="1:4" ht="12.75">
      <c r="A469" s="152"/>
      <c r="B469" s="153"/>
      <c r="C469" s="153"/>
      <c r="D469" s="154"/>
    </row>
    <row r="470" spans="1:4" ht="18">
      <c r="A470" s="22" t="str">
        <f>HYPERLINK("https://www.reddit.com/r/indieheads/comments/ag7xlh/top_ten_tuesday_depeche_mode/","Depeche Mode")</f>
        <v>Depeche Mode</v>
      </c>
      <c r="B470" s="30">
        <v>43480</v>
      </c>
      <c r="C470" s="24"/>
      <c r="D470" s="32" t="s">
        <v>1</v>
      </c>
    </row>
    <row r="471" spans="1:4" ht="12.75">
      <c r="A471" s="26" t="s">
        <v>2</v>
      </c>
      <c r="B471" s="26" t="s">
        <v>3</v>
      </c>
      <c r="C471" s="26" t="s">
        <v>4</v>
      </c>
      <c r="D471" s="26" t="s">
        <v>5</v>
      </c>
    </row>
    <row r="472" spans="1:4" ht="12.75">
      <c r="A472" s="7" t="s">
        <v>1065</v>
      </c>
      <c r="B472" s="8">
        <v>207</v>
      </c>
      <c r="C472" s="9" t="str">
        <f>HYPERLINK("https://en.wikipedia.org/wiki/Violator_(album)","Violator")</f>
        <v>Violator</v>
      </c>
      <c r="D472" s="7">
        <v>1990</v>
      </c>
    </row>
    <row r="473" spans="1:4" ht="12.75">
      <c r="A473" s="27" t="s">
        <v>1066</v>
      </c>
      <c r="B473" s="28">
        <v>193</v>
      </c>
      <c r="C473" s="29" t="str">
        <f>HYPERLINK("https://en.wikipedia.org/wiki/Music_for_the_Masses","Music for the Masses")</f>
        <v>Music for the Masses</v>
      </c>
      <c r="D473" s="27">
        <v>1987</v>
      </c>
    </row>
    <row r="474" spans="1:4" ht="12.75">
      <c r="A474" s="7" t="s">
        <v>1067</v>
      </c>
      <c r="B474" s="8">
        <v>123</v>
      </c>
      <c r="C474" s="9" t="str">
        <f>HYPERLINK("https://en.wikipedia.org/wiki/Violator_(album)","Violator")</f>
        <v>Violator</v>
      </c>
      <c r="D474" s="7">
        <v>1990</v>
      </c>
    </row>
    <row r="475" spans="1:4" ht="12.75">
      <c r="A475" s="27" t="s">
        <v>1068</v>
      </c>
      <c r="B475" s="28">
        <v>116</v>
      </c>
      <c r="C475" s="29" t="str">
        <f>HYPERLINK("https://en.wikipedia.org/wiki/Black_Celebration","Black Celebration")</f>
        <v>Black Celebration</v>
      </c>
      <c r="D475" s="27">
        <v>1986</v>
      </c>
    </row>
    <row r="476" spans="1:4" ht="12.75">
      <c r="A476" s="7" t="s">
        <v>1069</v>
      </c>
      <c r="B476" s="8">
        <v>95</v>
      </c>
      <c r="C476" s="9" t="str">
        <f>HYPERLINK("https://en.wikipedia.org/wiki/Stripped_(song)","Stripped 7""")</f>
        <v>Stripped 7"</v>
      </c>
      <c r="D476" s="7">
        <v>1986</v>
      </c>
    </row>
    <row r="477" spans="1:4" ht="12.75">
      <c r="A477" s="132" t="s">
        <v>3967</v>
      </c>
      <c r="B477" s="28">
        <v>91</v>
      </c>
      <c r="C477" s="29" t="str">
        <f>HYPERLINK("https://en.wikipedia.org/wiki/Some_Great_Reward","Some Great Reward")</f>
        <v>Some Great Reward</v>
      </c>
      <c r="D477" s="27">
        <v>1984</v>
      </c>
    </row>
    <row r="478" spans="1:4" ht="12.75">
      <c r="A478" s="7" t="s">
        <v>1070</v>
      </c>
      <c r="B478" s="8">
        <v>87</v>
      </c>
      <c r="C478" s="9" t="str">
        <f>HYPERLINK("https://en.wikipedia.org/wiki/Black_Celebration","Black Celebration")</f>
        <v>Black Celebration</v>
      </c>
      <c r="D478" s="7">
        <v>1986</v>
      </c>
    </row>
    <row r="479" spans="1:4" ht="12.75">
      <c r="A479" s="27" t="s">
        <v>1071</v>
      </c>
      <c r="B479" s="28">
        <v>80</v>
      </c>
      <c r="C479" s="29" t="str">
        <f>HYPERLINK("https://en.wikipedia.org/wiki/Violator_(album)","Violator")</f>
        <v>Violator</v>
      </c>
      <c r="D479" s="27">
        <v>1990</v>
      </c>
    </row>
    <row r="480" spans="1:4" ht="12.75">
      <c r="A480" s="7" t="s">
        <v>1072</v>
      </c>
      <c r="B480" s="8">
        <v>78</v>
      </c>
      <c r="C480" s="9" t="str">
        <f>HYPERLINK("https://en.wikipedia.org/wiki/Songs_of_Faith_and_Devotion","Songs of Faith and Devotion")</f>
        <v>Songs of Faith and Devotion</v>
      </c>
      <c r="D480" s="7">
        <v>1993</v>
      </c>
    </row>
    <row r="481" spans="1:4" ht="12.75">
      <c r="A481" s="27" t="s">
        <v>1073</v>
      </c>
      <c r="B481" s="28">
        <v>69</v>
      </c>
      <c r="C481" s="29" t="str">
        <f>HYPERLINK("https://en.wikipedia.org/wiki/Some_Great_Reward","Some Great Reward")</f>
        <v>Some Great Reward</v>
      </c>
      <c r="D481" s="27">
        <v>1984</v>
      </c>
    </row>
    <row r="482" spans="1:4" ht="12.75">
      <c r="A482" s="152"/>
      <c r="B482" s="153"/>
      <c r="C482" s="153"/>
      <c r="D482" s="154"/>
    </row>
    <row r="483" spans="1:4" ht="18">
      <c r="A483" s="22" t="str">
        <f>HYPERLINK("https://www.reddit.com/r/indieheads/comments/6627p6/top_ten_tuesday_destroyer/","Destroyer")</f>
        <v>Destroyer</v>
      </c>
      <c r="B483" s="30">
        <v>42843</v>
      </c>
      <c r="C483" s="24"/>
      <c r="D483" s="24"/>
    </row>
    <row r="484" spans="1:4" ht="12.75">
      <c r="A484" s="26" t="s">
        <v>2</v>
      </c>
      <c r="B484" s="26" t="s">
        <v>3</v>
      </c>
      <c r="C484" s="26" t="s">
        <v>4</v>
      </c>
      <c r="D484" s="26" t="s">
        <v>5</v>
      </c>
    </row>
    <row r="485" spans="1:4" ht="12.75">
      <c r="A485" s="7" t="s">
        <v>1074</v>
      </c>
      <c r="B485" s="8">
        <v>192</v>
      </c>
      <c r="C485" s="9" t="str">
        <f t="shared" ref="C485:C486" si="27">HYPERLINK("https://en.wikipedia.org/wiki/Kaputt_(album)","Kaputt")</f>
        <v>Kaputt</v>
      </c>
      <c r="D485" s="7">
        <v>2011</v>
      </c>
    </row>
    <row r="486" spans="1:4" ht="12.75">
      <c r="A486" s="27" t="s">
        <v>1075</v>
      </c>
      <c r="B486" s="28">
        <v>167</v>
      </c>
      <c r="C486" s="29" t="str">
        <f t="shared" si="27"/>
        <v>Kaputt</v>
      </c>
      <c r="D486" s="27">
        <v>2011</v>
      </c>
    </row>
    <row r="487" spans="1:4" ht="12.75">
      <c r="A487" s="133" t="s">
        <v>3968</v>
      </c>
      <c r="B487" s="8">
        <v>135</v>
      </c>
      <c r="C487" s="9" t="str">
        <f t="shared" ref="C487:C488" si="28">HYPERLINK("https://en.wikipedia.org/wiki/Destroyer%27s_Rubies","Destroyer's Rubies")</f>
        <v>Destroyer's Rubies</v>
      </c>
      <c r="D487" s="7">
        <v>2006</v>
      </c>
    </row>
    <row r="488" spans="1:4" ht="12.75">
      <c r="A488" s="27" t="s">
        <v>1076</v>
      </c>
      <c r="B488" s="28">
        <v>129</v>
      </c>
      <c r="C488" s="29" t="str">
        <f t="shared" si="28"/>
        <v>Destroyer's Rubies</v>
      </c>
      <c r="D488" s="27">
        <v>2006</v>
      </c>
    </row>
    <row r="489" spans="1:4" ht="12.75">
      <c r="A489" s="7" t="s">
        <v>1077</v>
      </c>
      <c r="B489" s="8">
        <v>102</v>
      </c>
      <c r="C489" s="9" t="str">
        <f>HYPERLINK("https://en.wikipedia.org/wiki/Kaputt_(album)","Kaputt")</f>
        <v>Kaputt</v>
      </c>
      <c r="D489" s="7">
        <v>2011</v>
      </c>
    </row>
    <row r="490" spans="1:4" ht="12.75">
      <c r="A490" s="27" t="s">
        <v>1078</v>
      </c>
      <c r="B490" s="28">
        <v>82</v>
      </c>
      <c r="C490" s="29" t="str">
        <f>HYPERLINK("https://en.wikipedia.org/wiki/Streethawk:_A_Seduction","Streethawk: A Seduction")</f>
        <v>Streethawk: A Seduction</v>
      </c>
      <c r="D490" s="27">
        <v>2001</v>
      </c>
    </row>
    <row r="491" spans="1:4" ht="12.75">
      <c r="A491" s="7" t="s">
        <v>1079</v>
      </c>
      <c r="B491" s="8">
        <v>61</v>
      </c>
      <c r="C491" s="9" t="str">
        <f>HYPERLINK("https://en.wikipedia.org/wiki/Kaputt_(album)","Kaputt")</f>
        <v>Kaputt</v>
      </c>
      <c r="D491" s="7">
        <v>2011</v>
      </c>
    </row>
    <row r="492" spans="1:4" ht="12.75">
      <c r="A492" s="27" t="s">
        <v>1080</v>
      </c>
      <c r="B492" s="28">
        <v>57</v>
      </c>
      <c r="C492" s="29" t="str">
        <f>HYPERLINK("https://en.wikipedia.org/wiki/Destroyer%27s_Rubies","Destroyer's Rubies")</f>
        <v>Destroyer's Rubies</v>
      </c>
      <c r="D492" s="27">
        <v>2006</v>
      </c>
    </row>
    <row r="493" spans="1:4" ht="12.75">
      <c r="A493" s="7" t="s">
        <v>1081</v>
      </c>
      <c r="B493" s="8">
        <v>48</v>
      </c>
      <c r="C493" s="9" t="str">
        <f>HYPERLINK("https://en.wikipedia.org/wiki/Poison_Season","Poison Season")</f>
        <v>Poison Season</v>
      </c>
      <c r="D493" s="7">
        <v>2015</v>
      </c>
    </row>
    <row r="494" spans="1:4" ht="12.75">
      <c r="A494" s="27" t="s">
        <v>1082</v>
      </c>
      <c r="B494" s="28">
        <v>47</v>
      </c>
      <c r="C494" s="29" t="str">
        <f>HYPERLINK("https://en.wikipedia.org/wiki/Kaputt_(album)","Kaputt")</f>
        <v>Kaputt</v>
      </c>
      <c r="D494" s="27">
        <v>2011</v>
      </c>
    </row>
    <row r="495" spans="1:4" ht="12.75">
      <c r="A495" s="152"/>
      <c r="B495" s="153"/>
      <c r="C495" s="153"/>
      <c r="D495" s="154"/>
    </row>
    <row r="496" spans="1:4" ht="18">
      <c r="A496" s="22" t="s">
        <v>1083</v>
      </c>
      <c r="B496" s="30">
        <v>44012</v>
      </c>
      <c r="C496" s="24"/>
      <c r="D496" s="32" t="s">
        <v>1</v>
      </c>
    </row>
    <row r="497" spans="1:4" ht="12.75">
      <c r="A497" s="26" t="s">
        <v>2</v>
      </c>
      <c r="B497" s="26" t="s">
        <v>3</v>
      </c>
      <c r="C497" s="26" t="s">
        <v>4</v>
      </c>
      <c r="D497" s="26" t="s">
        <v>5</v>
      </c>
    </row>
    <row r="498" spans="1:4" ht="12.75">
      <c r="A498" s="7" t="s">
        <v>1084</v>
      </c>
      <c r="B498" s="8">
        <v>155</v>
      </c>
      <c r="C498" s="9" t="s">
        <v>1085</v>
      </c>
      <c r="D498" s="7">
        <v>1978</v>
      </c>
    </row>
    <row r="499" spans="1:4" ht="12.75">
      <c r="A499" s="27" t="s">
        <v>1086</v>
      </c>
      <c r="B499" s="28">
        <v>144</v>
      </c>
      <c r="C499" s="29" t="s">
        <v>1085</v>
      </c>
      <c r="D499" s="27">
        <v>1978</v>
      </c>
    </row>
    <row r="500" spans="1:4" ht="12.75">
      <c r="A500" s="7" t="s">
        <v>1087</v>
      </c>
      <c r="B500" s="8">
        <v>137</v>
      </c>
      <c r="C500" s="9" t="s">
        <v>1085</v>
      </c>
      <c r="D500" s="7">
        <v>1978</v>
      </c>
    </row>
    <row r="501" spans="1:4" ht="12.75">
      <c r="A501" s="27" t="s">
        <v>1088</v>
      </c>
      <c r="B501" s="28">
        <v>96</v>
      </c>
      <c r="C501" s="29" t="s">
        <v>1089</v>
      </c>
      <c r="D501" s="27">
        <v>1980</v>
      </c>
    </row>
    <row r="502" spans="1:4" ht="12.75">
      <c r="A502" s="7" t="s">
        <v>1090</v>
      </c>
      <c r="B502" s="8">
        <v>88</v>
      </c>
      <c r="C502" s="9" t="s">
        <v>1091</v>
      </c>
      <c r="D502" s="7">
        <v>1979</v>
      </c>
    </row>
    <row r="503" spans="1:4" ht="12.75">
      <c r="A503" s="27" t="s">
        <v>1092</v>
      </c>
      <c r="B503" s="28">
        <v>77</v>
      </c>
      <c r="C503" s="29" t="s">
        <v>1085</v>
      </c>
      <c r="D503" s="27">
        <v>1978</v>
      </c>
    </row>
    <row r="504" spans="1:4" ht="12.75">
      <c r="A504" s="7" t="s">
        <v>1093</v>
      </c>
      <c r="B504" s="8">
        <v>65</v>
      </c>
      <c r="C504" s="9" t="s">
        <v>1085</v>
      </c>
      <c r="D504" s="7">
        <v>1977</v>
      </c>
    </row>
    <row r="505" spans="1:4" ht="12.75">
      <c r="A505" s="10" t="s">
        <v>1094</v>
      </c>
      <c r="B505" s="28">
        <v>59</v>
      </c>
      <c r="C505" s="29" t="s">
        <v>1095</v>
      </c>
      <c r="D505" s="27">
        <v>1981</v>
      </c>
    </row>
    <row r="506" spans="1:4" ht="12.75">
      <c r="A506" s="7" t="s">
        <v>1096</v>
      </c>
      <c r="B506" s="8">
        <v>54</v>
      </c>
      <c r="C506" s="9" t="s">
        <v>1089</v>
      </c>
      <c r="D506" s="7">
        <v>1980</v>
      </c>
    </row>
    <row r="507" spans="1:4" ht="12.75">
      <c r="A507" s="10" t="s">
        <v>1097</v>
      </c>
      <c r="B507" s="28">
        <v>45</v>
      </c>
      <c r="C507" s="29" t="s">
        <v>1091</v>
      </c>
      <c r="D507" s="27">
        <v>1979</v>
      </c>
    </row>
    <row r="508" spans="1:4" ht="12.75">
      <c r="A508" s="152"/>
      <c r="B508" s="153"/>
      <c r="C508" s="153"/>
      <c r="D508" s="154"/>
    </row>
    <row r="509" spans="1:4" ht="18">
      <c r="A509" s="2" t="s">
        <v>1098</v>
      </c>
      <c r="B509" s="30">
        <v>44089</v>
      </c>
      <c r="C509" s="31"/>
      <c r="D509" s="32" t="s">
        <v>1</v>
      </c>
    </row>
    <row r="510" spans="1:4" ht="12.75">
      <c r="A510" s="6" t="s">
        <v>2</v>
      </c>
      <c r="B510" s="26" t="s">
        <v>3</v>
      </c>
      <c r="C510" s="33" t="s">
        <v>4</v>
      </c>
      <c r="D510" s="26" t="s">
        <v>5</v>
      </c>
    </row>
    <row r="511" spans="1:4" ht="12.75">
      <c r="A511" s="7" t="s">
        <v>1099</v>
      </c>
      <c r="B511" s="8">
        <v>241</v>
      </c>
      <c r="C511" s="9" t="s">
        <v>1100</v>
      </c>
      <c r="D511" s="7">
        <v>2019</v>
      </c>
    </row>
    <row r="512" spans="1:4" ht="12.75">
      <c r="A512" s="10" t="s">
        <v>1101</v>
      </c>
      <c r="B512" s="28">
        <v>198</v>
      </c>
      <c r="C512" s="29" t="s">
        <v>1102</v>
      </c>
      <c r="D512" s="27">
        <v>2012</v>
      </c>
    </row>
    <row r="513" spans="1:4" ht="12.75">
      <c r="A513" s="7" t="s">
        <v>1103</v>
      </c>
      <c r="B513" s="8">
        <v>194</v>
      </c>
      <c r="C513" s="9" t="s">
        <v>1104</v>
      </c>
      <c r="D513" s="7">
        <v>2015</v>
      </c>
    </row>
    <row r="514" spans="1:4" ht="12.75">
      <c r="A514" s="10" t="s">
        <v>1105</v>
      </c>
      <c r="B514" s="28">
        <v>158</v>
      </c>
      <c r="C514" s="29" t="s">
        <v>1104</v>
      </c>
      <c r="D514" s="27">
        <v>2015</v>
      </c>
    </row>
    <row r="515" spans="1:4" ht="12.75">
      <c r="A515" s="7" t="s">
        <v>1106</v>
      </c>
      <c r="B515" s="8">
        <v>127</v>
      </c>
      <c r="C515" s="9" t="s">
        <v>1100</v>
      </c>
      <c r="D515" s="7">
        <v>2019</v>
      </c>
    </row>
    <row r="516" spans="1:4" ht="12.75">
      <c r="A516" s="10" t="s">
        <v>1107</v>
      </c>
      <c r="B516" s="28">
        <v>114</v>
      </c>
      <c r="C516" s="29" t="s">
        <v>1100</v>
      </c>
      <c r="D516" s="27">
        <v>2019</v>
      </c>
    </row>
    <row r="517" spans="1:4" ht="12.75">
      <c r="A517" s="7" t="s">
        <v>1108</v>
      </c>
      <c r="B517" s="8">
        <v>113</v>
      </c>
      <c r="C517" s="9" t="s">
        <v>1102</v>
      </c>
      <c r="D517" s="7">
        <v>2012</v>
      </c>
    </row>
    <row r="518" spans="1:4" ht="12.75">
      <c r="A518" s="10" t="s">
        <v>1109</v>
      </c>
      <c r="B518" s="28">
        <v>104</v>
      </c>
      <c r="C518" s="29" t="s">
        <v>1104</v>
      </c>
      <c r="D518" s="27">
        <v>2015</v>
      </c>
    </row>
    <row r="519" spans="1:4" ht="12.75">
      <c r="A519" s="7" t="s">
        <v>1110</v>
      </c>
      <c r="B519" s="8">
        <v>102</v>
      </c>
      <c r="C519" s="9" t="s">
        <v>1102</v>
      </c>
      <c r="D519" s="7">
        <v>2012</v>
      </c>
    </row>
    <row r="520" spans="1:4" ht="12.75">
      <c r="A520" s="10" t="s">
        <v>1111</v>
      </c>
      <c r="B520" s="28">
        <v>97</v>
      </c>
      <c r="C520" s="29" t="s">
        <v>1102</v>
      </c>
      <c r="D520" s="27">
        <v>2012</v>
      </c>
    </row>
    <row r="521" spans="1:4" ht="12.75">
      <c r="A521" s="152"/>
      <c r="B521" s="153"/>
      <c r="C521" s="153"/>
      <c r="D521" s="154"/>
    </row>
    <row r="522" spans="1:4" ht="18">
      <c r="A522" s="22" t="str">
        <f>HYPERLINK("https://www.reddit.com/r/indieheads/comments/4o1g36/top_ten_tuesday_dinosaur_jr/","Dinosaur Jr.")</f>
        <v>Dinosaur Jr.</v>
      </c>
      <c r="B522" s="43">
        <v>42535</v>
      </c>
      <c r="C522" s="24"/>
      <c r="D522" s="24"/>
    </row>
    <row r="523" spans="1:4" ht="12.75">
      <c r="A523" s="26" t="s">
        <v>2</v>
      </c>
      <c r="B523" s="26" t="s">
        <v>3</v>
      </c>
      <c r="C523" s="26" t="s">
        <v>4</v>
      </c>
      <c r="D523" s="26" t="s">
        <v>5</v>
      </c>
    </row>
    <row r="524" spans="1:4" ht="12.75">
      <c r="A524" s="9" t="str">
        <f>HYPERLINK("https://www.youtube.com/watch?v=vV2kJ0rSfKU","Freak Scene")</f>
        <v>Freak Scene</v>
      </c>
      <c r="B524" s="8">
        <v>160</v>
      </c>
      <c r="C524" s="9" t="str">
        <f>HYPERLINK("https://en.wikipedia.org/wiki/Bug_(Dinosaur_Jr._album)","Bug")</f>
        <v>Bug</v>
      </c>
      <c r="D524" s="7">
        <v>1988</v>
      </c>
    </row>
    <row r="525" spans="1:4" ht="12.75">
      <c r="A525" s="29" t="str">
        <f>HYPERLINK("https://www.youtube.com/watch?v=jVPjcfGqs8Q","Little Fury Things")</f>
        <v>Little Fury Things</v>
      </c>
      <c r="B525" s="28">
        <v>152</v>
      </c>
      <c r="C525" s="29" t="str">
        <f>HYPERLINK("https://en.wikipedia.org/wiki/You%27re_Living_All_Over_Me","You're Living All Over Me")</f>
        <v>You're Living All Over Me</v>
      </c>
      <c r="D525" s="27">
        <v>1987</v>
      </c>
    </row>
    <row r="526" spans="1:4" ht="12.75">
      <c r="A526" s="9" t="str">
        <f>HYPERLINK("https://www.youtube.com/watch?v=GbD1sZj8BbA","Start Choppin'")</f>
        <v>Start Choppin'</v>
      </c>
      <c r="B526" s="8">
        <v>103</v>
      </c>
      <c r="C526" s="9" t="str">
        <f>HYPERLINK("https://en.wikipedia.org/wiki/Where_You_Been","Where You Been")</f>
        <v>Where You Been</v>
      </c>
      <c r="D526" s="7">
        <v>1993</v>
      </c>
    </row>
    <row r="527" spans="1:4" ht="12.75">
      <c r="A527" s="29" t="str">
        <f>HYPERLINK("https://www.youtube.com/watch?v=edCOwJQM50c","The Wagon")</f>
        <v>The Wagon</v>
      </c>
      <c r="B527" s="28">
        <v>92</v>
      </c>
      <c r="C527" s="29" t="str">
        <f>HYPERLINK("https://en.wikipedia.org/wiki/Green_Mind","Green Mind")</f>
        <v>Green Mind</v>
      </c>
      <c r="D527" s="27">
        <v>1991</v>
      </c>
    </row>
    <row r="528" spans="1:4" ht="12.75">
      <c r="A528" s="9" t="str">
        <f>HYPERLINK("https://www.youtube.com/watch?v=IC9CZyHLn3M","Feel the Pain")</f>
        <v>Feel the Pain</v>
      </c>
      <c r="B528" s="8">
        <v>86</v>
      </c>
      <c r="C528" s="9" t="str">
        <f>HYPERLINK("https://en.wikipedia.org/wiki/Without_a_Sound","Without a Sound")</f>
        <v>Without a Sound</v>
      </c>
      <c r="D528" s="7">
        <v>1994</v>
      </c>
    </row>
    <row r="529" spans="1:4" ht="12.75">
      <c r="A529" s="29" t="str">
        <f>HYPERLINK("https://www.youtube.com/watch?v=TJGLp33KsFE","The Lung")</f>
        <v>The Lung</v>
      </c>
      <c r="B529" s="28">
        <v>81</v>
      </c>
      <c r="C529" s="29" t="str">
        <f t="shared" ref="C529:C531" si="29">HYPERLINK("https://en.wikipedia.org/wiki/You%27re_Living_All_Over_Me","You're Living All Over Me")</f>
        <v>You're Living All Over Me</v>
      </c>
      <c r="D529" s="27">
        <v>1987</v>
      </c>
    </row>
    <row r="530" spans="1:4" ht="12.75">
      <c r="A530" s="9" t="str">
        <f>HYPERLINK("https://www.youtube.com/watch?v=8IRxy_ebBNk","In a Jar")</f>
        <v>In a Jar</v>
      </c>
      <c r="B530" s="8">
        <v>58</v>
      </c>
      <c r="C530" s="9" t="str">
        <f t="shared" si="29"/>
        <v>You're Living All Over Me</v>
      </c>
      <c r="D530" s="7">
        <v>1987</v>
      </c>
    </row>
    <row r="531" spans="1:4" ht="12.75">
      <c r="A531" s="29" t="str">
        <f>HYPERLINK("https://www.youtube.com/watch?v=yi1LrNtVltg","Sludgefeast")</f>
        <v>Sludgefeast</v>
      </c>
      <c r="B531" s="28">
        <v>56</v>
      </c>
      <c r="C531" s="29" t="str">
        <f t="shared" si="29"/>
        <v>You're Living All Over Me</v>
      </c>
      <c r="D531" s="27">
        <v>1987</v>
      </c>
    </row>
    <row r="532" spans="1:4" ht="12.75">
      <c r="A532" s="9" t="str">
        <f>HYPERLINK("https://www.youtube.com/watch?v=I3eQGBYEFhE","Just Like Heaven")</f>
        <v>Just Like Heaven</v>
      </c>
      <c r="B532" s="8">
        <v>55</v>
      </c>
      <c r="C532" s="9" t="str">
        <f>HYPERLINK("https://en.wikipedia.org/wiki/Just_Like_Heaven_(song)#Cover_versions","Just Like Heaven - Single")</f>
        <v>Just Like Heaven - Single</v>
      </c>
      <c r="D532" s="7">
        <v>1989</v>
      </c>
    </row>
    <row r="533" spans="1:4" ht="12.75">
      <c r="A533" s="29" t="str">
        <f>HYPERLINK("https://www.youtube.com/watch?v=Ln8XsL6veaU","Raisans")</f>
        <v>Raisans</v>
      </c>
      <c r="B533" s="28">
        <v>54</v>
      </c>
      <c r="C533" s="29" t="str">
        <f>HYPERLINK("https://en.wikipedia.org/wiki/You%27re_Living_All_Over_Me","You're Living All Over Me")</f>
        <v>You're Living All Over Me</v>
      </c>
      <c r="D533" s="27">
        <v>1987</v>
      </c>
    </row>
    <row r="534" spans="1:4" ht="12.75">
      <c r="A534" s="152"/>
      <c r="B534" s="153"/>
      <c r="C534" s="153"/>
      <c r="D534" s="154"/>
    </row>
    <row r="535" spans="1:4" ht="18">
      <c r="A535" s="22" t="str">
        <f>HYPERLINK("https://www.reddit.com/r/indieheads/comments/6secn4/top_ten_tuesday_dirty_projectors/","Dirty Projectors")</f>
        <v>Dirty Projectors</v>
      </c>
      <c r="B535" s="30">
        <v>42955</v>
      </c>
      <c r="C535" s="24"/>
      <c r="D535" s="24"/>
    </row>
    <row r="536" spans="1:4" ht="12.75">
      <c r="A536" s="26" t="s">
        <v>2</v>
      </c>
      <c r="B536" s="26" t="s">
        <v>3</v>
      </c>
      <c r="C536" s="26" t="s">
        <v>4</v>
      </c>
      <c r="D536" s="26" t="s">
        <v>5</v>
      </c>
    </row>
    <row r="537" spans="1:4" ht="12.75">
      <c r="A537" s="7" t="s">
        <v>1112</v>
      </c>
      <c r="B537" s="8">
        <v>184</v>
      </c>
      <c r="C537" s="9" t="str">
        <f>HYPERLINK("https://en.wikipedia.org/wiki/Bitte_Orca","Bitte Orca")</f>
        <v>Bitte Orca</v>
      </c>
      <c r="D537" s="7">
        <v>2009</v>
      </c>
    </row>
    <row r="538" spans="1:4" ht="12.75">
      <c r="A538" s="27" t="s">
        <v>1113</v>
      </c>
      <c r="B538" s="28">
        <v>168</v>
      </c>
      <c r="C538" s="29" t="str">
        <f>HYPERLINK("https://en.wikipedia.org/wiki/Swing_Lo_Magellan","Swing Lo Magellan")</f>
        <v>Swing Lo Magellan</v>
      </c>
      <c r="D538" s="27">
        <v>2012</v>
      </c>
    </row>
    <row r="539" spans="1:4" ht="12.75">
      <c r="A539" s="7" t="s">
        <v>1114</v>
      </c>
      <c r="B539" s="8">
        <v>163</v>
      </c>
      <c r="C539" s="9" t="str">
        <f t="shared" ref="C539:C540" si="30">HYPERLINK("https://en.wikipedia.org/wiki/Bitte_Orca","Bitte Orca")</f>
        <v>Bitte Orca</v>
      </c>
      <c r="D539" s="7">
        <v>2009</v>
      </c>
    </row>
    <row r="540" spans="1:4" ht="12.75">
      <c r="A540" s="27" t="s">
        <v>1115</v>
      </c>
      <c r="B540" s="28">
        <v>155</v>
      </c>
      <c r="C540" s="29" t="str">
        <f t="shared" si="30"/>
        <v>Bitte Orca</v>
      </c>
      <c r="D540" s="27">
        <v>2009</v>
      </c>
    </row>
    <row r="541" spans="1:4" ht="12.75">
      <c r="A541" s="7" t="s">
        <v>1116</v>
      </c>
      <c r="B541" s="8">
        <v>154</v>
      </c>
      <c r="C541" s="9" t="str">
        <f>HYPERLINK("https://en.wikipedia.org/wiki/Swing_Lo_Magellan","Swing Lo Magellan")</f>
        <v>Swing Lo Magellan</v>
      </c>
      <c r="D541" s="7">
        <v>2012</v>
      </c>
    </row>
    <row r="542" spans="1:4" ht="12.75">
      <c r="A542" s="27" t="s">
        <v>1117</v>
      </c>
      <c r="B542" s="28">
        <v>122</v>
      </c>
      <c r="C542" s="29" t="str">
        <f t="shared" ref="C542:C543" si="31">HYPERLINK("https://en.wikipedia.org/wiki/Bitte_Orca","Bitte Orca")</f>
        <v>Bitte Orca</v>
      </c>
      <c r="D542" s="27">
        <v>2009</v>
      </c>
    </row>
    <row r="543" spans="1:4" ht="12.75">
      <c r="A543" s="7" t="s">
        <v>1118</v>
      </c>
      <c r="B543" s="8">
        <v>103</v>
      </c>
      <c r="C543" s="9" t="str">
        <f t="shared" si="31"/>
        <v>Bitte Orca</v>
      </c>
      <c r="D543" s="7">
        <v>2009</v>
      </c>
    </row>
    <row r="544" spans="1:4" ht="12.75">
      <c r="A544" s="27" t="s">
        <v>1119</v>
      </c>
      <c r="B544" s="28">
        <v>99</v>
      </c>
      <c r="C544" s="29" t="str">
        <f>HYPERLINK("https://en.wikipedia.org/wiki/Dirty_Projectors_(album)","Dirty Projectors")</f>
        <v>Dirty Projectors</v>
      </c>
      <c r="D544" s="27">
        <v>2017</v>
      </c>
    </row>
    <row r="545" spans="1:4" ht="12.75">
      <c r="A545" s="7" t="s">
        <v>1120</v>
      </c>
      <c r="B545" s="8">
        <v>96</v>
      </c>
      <c r="C545" s="9" t="str">
        <f t="shared" ref="C545:C546" si="32">HYPERLINK("https://en.wikipedia.org/wiki/Swing_Lo_Magellan","Swing Lo Magellan")</f>
        <v>Swing Lo Magellan</v>
      </c>
      <c r="D545" s="7">
        <v>2012</v>
      </c>
    </row>
    <row r="546" spans="1:4" ht="12.75">
      <c r="A546" s="27" t="s">
        <v>1121</v>
      </c>
      <c r="B546" s="28">
        <v>89</v>
      </c>
      <c r="C546" s="29" t="str">
        <f t="shared" si="32"/>
        <v>Swing Lo Magellan</v>
      </c>
      <c r="D546" s="27">
        <v>2012</v>
      </c>
    </row>
    <row r="547" spans="1:4" ht="12.75">
      <c r="A547" s="152"/>
      <c r="B547" s="153"/>
      <c r="C547" s="153"/>
      <c r="D547" s="154"/>
    </row>
    <row r="548" spans="1:4" ht="18">
      <c r="A548" s="128" t="s">
        <v>3934</v>
      </c>
      <c r="B548" s="30">
        <v>43291</v>
      </c>
      <c r="C548" s="24"/>
      <c r="D548" s="32" t="s">
        <v>1</v>
      </c>
    </row>
    <row r="549" spans="1:4" ht="12.75">
      <c r="A549" s="26" t="s">
        <v>2</v>
      </c>
      <c r="B549" s="26" t="s">
        <v>3</v>
      </c>
      <c r="C549" s="26" t="s">
        <v>4</v>
      </c>
      <c r="D549" s="26" t="s">
        <v>5</v>
      </c>
    </row>
    <row r="550" spans="1:4" ht="12.75">
      <c r="A550" s="7" t="s">
        <v>1122</v>
      </c>
      <c r="B550" s="8">
        <v>161</v>
      </c>
      <c r="C550" s="9" t="str">
        <f t="shared" ref="C550:C554" si="33">HYPERLINK("https://en.wikipedia.org/wiki/Emergency_%26_I","Emergency &amp; I")</f>
        <v>Emergency &amp; I</v>
      </c>
      <c r="D550" s="7">
        <v>1999</v>
      </c>
    </row>
    <row r="551" spans="1:4" ht="12.75">
      <c r="A551" s="27" t="s">
        <v>1123</v>
      </c>
      <c r="B551" s="28">
        <v>135</v>
      </c>
      <c r="C551" s="29" t="str">
        <f t="shared" si="33"/>
        <v>Emergency &amp; I</v>
      </c>
      <c r="D551" s="27">
        <v>1999</v>
      </c>
    </row>
    <row r="552" spans="1:4" ht="12.75">
      <c r="A552" s="7" t="s">
        <v>1124</v>
      </c>
      <c r="B552" s="8">
        <v>124</v>
      </c>
      <c r="C552" s="9" t="str">
        <f t="shared" si="33"/>
        <v>Emergency &amp; I</v>
      </c>
      <c r="D552" s="7">
        <v>1999</v>
      </c>
    </row>
    <row r="553" spans="1:4" ht="12.75">
      <c r="A553" s="27" t="s">
        <v>1125</v>
      </c>
      <c r="B553" s="28">
        <v>119</v>
      </c>
      <c r="C553" s="29" t="str">
        <f t="shared" si="33"/>
        <v>Emergency &amp; I</v>
      </c>
      <c r="D553" s="27">
        <v>1999</v>
      </c>
    </row>
    <row r="554" spans="1:4" ht="12.75">
      <c r="A554" s="7" t="s">
        <v>1126</v>
      </c>
      <c r="B554" s="8">
        <v>114</v>
      </c>
      <c r="C554" s="9" t="str">
        <f t="shared" si="33"/>
        <v>Emergency &amp; I</v>
      </c>
      <c r="D554" s="7">
        <v>1999</v>
      </c>
    </row>
    <row r="555" spans="1:4" ht="12.75">
      <c r="A555" s="27" t="s">
        <v>1127</v>
      </c>
      <c r="B555" s="28">
        <v>109</v>
      </c>
      <c r="C555" s="29" t="str">
        <f>HYPERLINK("https://en.wikipedia.org/wiki/The_Dismemberment_Plan_Is_Terrified","The Dismemberment Plan is Terrified")</f>
        <v>The Dismemberment Plan is Terrified</v>
      </c>
      <c r="D555" s="27">
        <v>1997</v>
      </c>
    </row>
    <row r="556" spans="1:4" ht="12.75">
      <c r="A556" s="7" t="s">
        <v>1128</v>
      </c>
      <c r="B556" s="8">
        <v>105</v>
      </c>
      <c r="C556" s="9" t="str">
        <f t="shared" ref="C556:C558" si="34">HYPERLINK("https://en.wikipedia.org/wiki/Emergency_%26_I","Emergency &amp; I")</f>
        <v>Emergency &amp; I</v>
      </c>
      <c r="D556" s="7">
        <v>1999</v>
      </c>
    </row>
    <row r="557" spans="1:4" ht="12.75">
      <c r="A557" s="27" t="s">
        <v>1129</v>
      </c>
      <c r="B557" s="28">
        <v>97</v>
      </c>
      <c r="C557" s="29" t="str">
        <f t="shared" si="34"/>
        <v>Emergency &amp; I</v>
      </c>
      <c r="D557" s="27">
        <v>1999</v>
      </c>
    </row>
    <row r="558" spans="1:4" ht="12.75">
      <c r="A558" s="7" t="s">
        <v>1130</v>
      </c>
      <c r="B558" s="8">
        <v>87</v>
      </c>
      <c r="C558" s="9" t="str">
        <f t="shared" si="34"/>
        <v>Emergency &amp; I</v>
      </c>
      <c r="D558" s="7">
        <v>1999</v>
      </c>
    </row>
    <row r="559" spans="1:4" ht="12.75">
      <c r="A559" s="27" t="s">
        <v>1131</v>
      </c>
      <c r="B559" s="28">
        <v>72</v>
      </c>
      <c r="C559" s="29" t="str">
        <f>HYPERLINK("https://en.wikipedia.org/wiki/Change_(The_Dismemberment_Plan_album)","Change")</f>
        <v>Change</v>
      </c>
      <c r="D559" s="27">
        <v>2001</v>
      </c>
    </row>
    <row r="560" spans="1:4" ht="12.75">
      <c r="A560" s="152"/>
      <c r="B560" s="153"/>
      <c r="C560" s="153"/>
      <c r="D560" s="154"/>
    </row>
    <row r="561" spans="1:4" ht="18">
      <c r="A561" s="22" t="str">
        <f>HYPERLINK("https://www.reddit.com/r/indieheads/comments/8b7b8w/top_ten_tuesday_dr_dog/","Dr. Dog")</f>
        <v>Dr. Dog</v>
      </c>
      <c r="B561" s="30">
        <v>43200</v>
      </c>
      <c r="C561" s="24"/>
      <c r="D561" s="24"/>
    </row>
    <row r="562" spans="1:4" ht="12.75">
      <c r="A562" s="26" t="s">
        <v>2</v>
      </c>
      <c r="B562" s="26" t="s">
        <v>3</v>
      </c>
      <c r="C562" s="26" t="s">
        <v>4</v>
      </c>
      <c r="D562" s="26" t="s">
        <v>5</v>
      </c>
    </row>
    <row r="563" spans="1:4" ht="12.75">
      <c r="A563" s="7" t="s">
        <v>1132</v>
      </c>
      <c r="B563" s="8">
        <v>107</v>
      </c>
      <c r="C563" s="9" t="str">
        <f>HYPERLINK("https://en.wikipedia.org/wiki/Fate_(Dr._Dog_album)","Fate")</f>
        <v>Fate</v>
      </c>
      <c r="D563" s="7">
        <v>2008</v>
      </c>
    </row>
    <row r="564" spans="1:4" ht="12.75">
      <c r="A564" s="27" t="s">
        <v>1133</v>
      </c>
      <c r="B564" s="28">
        <v>106</v>
      </c>
      <c r="C564" s="29" t="str">
        <f t="shared" ref="C564:C565" si="35">HYPERLINK("https://en.wikipedia.org/wiki/Shame,_Shame","Shame, Shame")</f>
        <v>Shame, Shame</v>
      </c>
      <c r="D564" s="27">
        <v>2010</v>
      </c>
    </row>
    <row r="565" spans="1:4" ht="12.75">
      <c r="A565" s="7" t="s">
        <v>1134</v>
      </c>
      <c r="B565" s="8">
        <v>93</v>
      </c>
      <c r="C565" s="9" t="str">
        <f t="shared" si="35"/>
        <v>Shame, Shame</v>
      </c>
      <c r="D565" s="7">
        <v>2010</v>
      </c>
    </row>
    <row r="566" spans="1:4" ht="12.75">
      <c r="A566" s="27" t="s">
        <v>1135</v>
      </c>
      <c r="B566" s="28">
        <v>69</v>
      </c>
      <c r="C566" s="29" t="str">
        <f>HYPERLINK("https://en.wikipedia.org/wiki/Be_the_Void","Be the Void")</f>
        <v>Be the Void</v>
      </c>
      <c r="D566" s="27">
        <v>2012</v>
      </c>
    </row>
    <row r="567" spans="1:4" ht="12.75">
      <c r="A567" s="7" t="s">
        <v>1136</v>
      </c>
      <c r="B567" s="8">
        <v>52</v>
      </c>
      <c r="C567" s="9" t="str">
        <f>HYPERLINK("https://en.wikipedia.org/wiki/Easy_Beat_(album)","Easy Beat")</f>
        <v>Easy Beat</v>
      </c>
      <c r="D567" s="7">
        <v>2005</v>
      </c>
    </row>
    <row r="568" spans="1:4" ht="12.75">
      <c r="A568" s="27" t="s">
        <v>1137</v>
      </c>
      <c r="B568" s="28">
        <v>48</v>
      </c>
      <c r="C568" s="29" t="str">
        <f>HYPERLINK("https://en.wikipedia.org/wiki/Fate_(Dr._Dog_album)","Fate")</f>
        <v>Fate</v>
      </c>
      <c r="D568" s="27">
        <v>2008</v>
      </c>
    </row>
    <row r="569" spans="1:4" ht="12.75">
      <c r="A569" s="7" t="s">
        <v>1138</v>
      </c>
      <c r="B569" s="8">
        <v>48</v>
      </c>
      <c r="C569" s="9" t="str">
        <f>HYPERLINK("https://en.wikipedia.org/wiki/We_All_Belong","We All Belong")</f>
        <v>We All Belong</v>
      </c>
      <c r="D569" s="7">
        <v>2007</v>
      </c>
    </row>
    <row r="570" spans="1:4" ht="12.75">
      <c r="A570" s="27" t="s">
        <v>1139</v>
      </c>
      <c r="B570" s="28">
        <v>48</v>
      </c>
      <c r="C570" s="29" t="str">
        <f t="shared" ref="C570:C571" si="36">HYPERLINK("https://en.wikipedia.org/wiki/Fate_(Dr._Dog_album)","Fate")</f>
        <v>Fate</v>
      </c>
      <c r="D570" s="27">
        <v>2008</v>
      </c>
    </row>
    <row r="571" spans="1:4" ht="12.75">
      <c r="A571" s="7" t="s">
        <v>31</v>
      </c>
      <c r="B571" s="8">
        <v>47</v>
      </c>
      <c r="C571" s="9" t="str">
        <f t="shared" si="36"/>
        <v>Fate</v>
      </c>
      <c r="D571" s="7">
        <v>2008</v>
      </c>
    </row>
    <row r="572" spans="1:4" ht="12.75">
      <c r="A572" s="27" t="s">
        <v>1140</v>
      </c>
      <c r="B572" s="28">
        <v>44</v>
      </c>
      <c r="C572" s="29" t="str">
        <f>HYPERLINK("https://en.wikipedia.org/wiki/Shame,_Shame","Shame, Shame")</f>
        <v>Shame, Shame</v>
      </c>
      <c r="D572" s="27">
        <v>2010</v>
      </c>
    </row>
    <row r="573" spans="1:4" ht="12.75">
      <c r="A573" s="152"/>
      <c r="B573" s="153"/>
      <c r="C573" s="153"/>
      <c r="D573" s="154"/>
    </row>
    <row r="574" spans="1:4" ht="18">
      <c r="A574" s="22" t="s">
        <v>1141</v>
      </c>
      <c r="B574" s="43">
        <v>44138</v>
      </c>
      <c r="C574" s="24"/>
      <c r="D574" s="32" t="s">
        <v>1</v>
      </c>
    </row>
    <row r="575" spans="1:4" ht="12.75">
      <c r="A575" s="26" t="s">
        <v>2</v>
      </c>
      <c r="B575" s="26" t="s">
        <v>3</v>
      </c>
      <c r="C575" s="26" t="s">
        <v>4</v>
      </c>
      <c r="D575" s="26" t="s">
        <v>5</v>
      </c>
    </row>
    <row r="576" spans="1:4" ht="12.75">
      <c r="A576" s="7" t="s">
        <v>3987</v>
      </c>
      <c r="B576" s="8">
        <v>127</v>
      </c>
      <c r="C576" s="9" t="s">
        <v>1142</v>
      </c>
      <c r="D576" s="7">
        <v>1998</v>
      </c>
    </row>
    <row r="577" spans="1:4" ht="12.75">
      <c r="A577" s="27" t="s">
        <v>1143</v>
      </c>
      <c r="B577" s="28">
        <v>125</v>
      </c>
      <c r="C577" s="29" t="s">
        <v>1142</v>
      </c>
      <c r="D577" s="27">
        <v>1998</v>
      </c>
    </row>
    <row r="578" spans="1:4" ht="12.75">
      <c r="A578" s="7" t="s">
        <v>1144</v>
      </c>
      <c r="B578" s="8">
        <v>116</v>
      </c>
      <c r="C578" s="9" t="s">
        <v>1145</v>
      </c>
      <c r="D578" s="7">
        <v>2000</v>
      </c>
    </row>
    <row r="579" spans="1:4" ht="12.75">
      <c r="A579" s="27" t="s">
        <v>1146</v>
      </c>
      <c r="B579" s="28">
        <v>101</v>
      </c>
      <c r="C579" s="29" t="s">
        <v>1142</v>
      </c>
      <c r="D579" s="27">
        <v>1998</v>
      </c>
    </row>
    <row r="580" spans="1:4" ht="12.75">
      <c r="A580" s="7" t="s">
        <v>805</v>
      </c>
      <c r="B580" s="8">
        <v>92</v>
      </c>
      <c r="C580" s="9" t="s">
        <v>1142</v>
      </c>
      <c r="D580" s="7">
        <v>1998</v>
      </c>
    </row>
    <row r="581" spans="1:4" ht="12.75">
      <c r="A581" s="27" t="s">
        <v>1147</v>
      </c>
      <c r="B581" s="28">
        <v>65</v>
      </c>
      <c r="C581" s="29" t="s">
        <v>1142</v>
      </c>
      <c r="D581" s="27">
        <v>1998</v>
      </c>
    </row>
    <row r="582" spans="1:4" ht="12.75">
      <c r="A582" s="7" t="s">
        <v>1148</v>
      </c>
      <c r="B582" s="8">
        <v>64</v>
      </c>
      <c r="C582" s="9" t="s">
        <v>1142</v>
      </c>
      <c r="D582" s="7">
        <v>1998</v>
      </c>
    </row>
    <row r="583" spans="1:4" ht="12.75">
      <c r="A583" s="27" t="s">
        <v>1149</v>
      </c>
      <c r="B583" s="28">
        <v>59</v>
      </c>
      <c r="C583" s="29" t="s">
        <v>1145</v>
      </c>
      <c r="D583" s="27">
        <v>2000</v>
      </c>
    </row>
    <row r="584" spans="1:4" ht="12.75">
      <c r="A584" s="7" t="s">
        <v>1150</v>
      </c>
      <c r="B584" s="8">
        <v>57</v>
      </c>
      <c r="C584" s="9" t="s">
        <v>1145</v>
      </c>
      <c r="D584" s="7">
        <v>2000</v>
      </c>
    </row>
    <row r="585" spans="1:4" ht="12.75">
      <c r="A585" s="27" t="s">
        <v>1151</v>
      </c>
      <c r="B585" s="28">
        <v>54</v>
      </c>
      <c r="C585" s="29" t="s">
        <v>1142</v>
      </c>
      <c r="D585" s="27">
        <v>1998</v>
      </c>
    </row>
    <row r="586" spans="1:4" ht="12.75">
      <c r="A586" s="152"/>
      <c r="B586" s="153"/>
      <c r="C586" s="153"/>
      <c r="D586" s="154"/>
    </row>
    <row r="587" spans="1:4" ht="18">
      <c r="A587" s="53" t="s">
        <v>1152</v>
      </c>
      <c r="B587" s="54">
        <v>44892</v>
      </c>
      <c r="C587" s="55"/>
      <c r="D587" s="55"/>
    </row>
    <row r="588" spans="1:4" ht="12.75">
      <c r="A588" s="56" t="s">
        <v>2</v>
      </c>
      <c r="B588" s="56" t="s">
        <v>3</v>
      </c>
      <c r="C588" s="56" t="s">
        <v>4</v>
      </c>
      <c r="D588" s="56" t="s">
        <v>5</v>
      </c>
    </row>
    <row r="589" spans="1:4" ht="12.75">
      <c r="A589" s="16" t="s">
        <v>1153</v>
      </c>
      <c r="B589" s="16">
        <v>95</v>
      </c>
      <c r="C589" s="16" t="s">
        <v>1154</v>
      </c>
      <c r="D589" s="16">
        <v>2018</v>
      </c>
    </row>
    <row r="590" spans="1:4" ht="12.75">
      <c r="A590" s="58" t="s">
        <v>1155</v>
      </c>
      <c r="B590" s="58">
        <v>83</v>
      </c>
      <c r="C590" s="58" t="s">
        <v>1156</v>
      </c>
      <c r="D590" s="58">
        <v>2013</v>
      </c>
    </row>
    <row r="591" spans="1:4" ht="12.75">
      <c r="A591" s="16" t="s">
        <v>1157</v>
      </c>
      <c r="B591" s="16">
        <v>72</v>
      </c>
      <c r="C591" s="16" t="s">
        <v>1154</v>
      </c>
      <c r="D591" s="16">
        <v>2018</v>
      </c>
    </row>
    <row r="592" spans="1:4" ht="12.75">
      <c r="A592" s="58" t="s">
        <v>1158</v>
      </c>
      <c r="B592" s="58">
        <v>72</v>
      </c>
      <c r="C592" s="58" t="s">
        <v>1154</v>
      </c>
      <c r="D592" s="58">
        <v>2018</v>
      </c>
    </row>
    <row r="593" spans="1:4" ht="12.75">
      <c r="A593" s="16" t="s">
        <v>1159</v>
      </c>
      <c r="B593" s="16">
        <v>66</v>
      </c>
      <c r="C593" s="16" t="s">
        <v>1154</v>
      </c>
      <c r="D593" s="16">
        <v>2018</v>
      </c>
    </row>
    <row r="594" spans="1:4" ht="12.75">
      <c r="A594" s="58" t="s">
        <v>1160</v>
      </c>
      <c r="B594" s="58">
        <v>59</v>
      </c>
      <c r="C594" s="58" t="s">
        <v>1156</v>
      </c>
      <c r="D594" s="58">
        <v>2013</v>
      </c>
    </row>
    <row r="595" spans="1:4" ht="12.75">
      <c r="A595" s="16" t="s">
        <v>1161</v>
      </c>
      <c r="B595" s="16">
        <v>49</v>
      </c>
      <c r="C595" s="16" t="s">
        <v>1162</v>
      </c>
      <c r="D595" s="16">
        <v>2019</v>
      </c>
    </row>
    <row r="596" spans="1:4" ht="12.75">
      <c r="A596" s="57">
        <v>2010</v>
      </c>
      <c r="B596" s="58">
        <v>45</v>
      </c>
      <c r="C596" s="58" t="s">
        <v>1163</v>
      </c>
      <c r="D596" s="58">
        <v>2022</v>
      </c>
    </row>
    <row r="597" spans="1:4" ht="12.75">
      <c r="A597" s="16" t="s">
        <v>1164</v>
      </c>
      <c r="B597" s="16">
        <v>41</v>
      </c>
      <c r="C597" s="16" t="s">
        <v>1156</v>
      </c>
      <c r="D597" s="16">
        <v>2013</v>
      </c>
    </row>
    <row r="598" spans="1:4" ht="12.75">
      <c r="A598" s="58" t="s">
        <v>1165</v>
      </c>
      <c r="B598" s="58">
        <v>35</v>
      </c>
      <c r="C598" s="58" t="s">
        <v>1154</v>
      </c>
      <c r="D598" s="58">
        <v>2018</v>
      </c>
    </row>
    <row r="599" spans="1:4" ht="12.75">
      <c r="A599" s="152"/>
      <c r="B599" s="153"/>
      <c r="C599" s="153"/>
      <c r="D599" s="154"/>
    </row>
    <row r="600" spans="1:4" ht="18">
      <c r="A600" s="22" t="str">
        <f>HYPERLINK("https://www.reddit.com/r/indieheads/comments/fctavs/top_ten_tuesday_echo_the_bunnymen/","Echo &amp; the Bunnymen")</f>
        <v>Echo &amp; the Bunnymen</v>
      </c>
      <c r="B600" s="30">
        <v>43893</v>
      </c>
      <c r="C600" s="24"/>
      <c r="D600" s="32" t="s">
        <v>1</v>
      </c>
    </row>
    <row r="601" spans="1:4" ht="12.75">
      <c r="A601" s="26" t="s">
        <v>2</v>
      </c>
      <c r="B601" s="26" t="s">
        <v>3</v>
      </c>
      <c r="C601" s="26" t="s">
        <v>4</v>
      </c>
      <c r="D601" s="26" t="s">
        <v>5</v>
      </c>
    </row>
    <row r="602" spans="1:4" ht="12.75">
      <c r="A602" s="7" t="s">
        <v>1166</v>
      </c>
      <c r="B602" s="8">
        <v>41</v>
      </c>
      <c r="C602" s="9" t="str">
        <f>HYPERLINK("https://en.wikipedia.org/wiki/Porcupine_(album)","Porcupine")</f>
        <v>Porcupine</v>
      </c>
      <c r="D602" s="7">
        <v>1983</v>
      </c>
    </row>
    <row r="603" spans="1:4" ht="12.75">
      <c r="A603" s="27" t="s">
        <v>1167</v>
      </c>
      <c r="B603" s="28">
        <v>39</v>
      </c>
      <c r="C603" s="29" t="str">
        <f>HYPERLINK("https://en.wikipedia.org/wiki/Songs_to_Learn_%26_Sing","Songs to Learn &amp; Sing")</f>
        <v>Songs to Learn &amp; Sing</v>
      </c>
      <c r="D603" s="27">
        <v>1985</v>
      </c>
    </row>
    <row r="604" spans="1:4" ht="12.75">
      <c r="A604" s="7" t="s">
        <v>1168</v>
      </c>
      <c r="B604" s="8">
        <v>37</v>
      </c>
      <c r="C604" s="9" t="str">
        <f>HYPERLINK("https://en.wikipedia.org/wiki/Ocean_Rain","Ocean Rain")</f>
        <v>Ocean Rain</v>
      </c>
      <c r="D604" s="7">
        <v>1984</v>
      </c>
    </row>
    <row r="605" spans="1:4" ht="12.75">
      <c r="A605" s="27" t="s">
        <v>1169</v>
      </c>
      <c r="B605" s="28">
        <v>26</v>
      </c>
      <c r="C605" s="12" t="str">
        <f>HYPERLINK("https://en.wikipedia.org/wiki/Porcupine_(album)","Porcupine")</f>
        <v>Porcupine</v>
      </c>
      <c r="D605" s="27">
        <v>1983</v>
      </c>
    </row>
    <row r="606" spans="1:4" ht="12.75">
      <c r="A606" s="7" t="s">
        <v>1170</v>
      </c>
      <c r="B606" s="8">
        <v>24</v>
      </c>
      <c r="C606" s="9" t="str">
        <f>HYPERLINK("https://en.wikipedia.org/wiki/Heaven_Up_Here","Heaven Up Here")</f>
        <v>Heaven Up Here</v>
      </c>
      <c r="D606" s="7">
        <v>1981</v>
      </c>
    </row>
    <row r="607" spans="1:4" ht="12.75">
      <c r="A607" s="27" t="s">
        <v>1171</v>
      </c>
      <c r="B607" s="28">
        <v>23</v>
      </c>
      <c r="C607" s="29" t="str">
        <f>HYPERLINK("https://en.wikipedia.org/wiki/Ocean_Rain","Ocean Rain")</f>
        <v>Ocean Rain</v>
      </c>
      <c r="D607" s="27">
        <v>1984</v>
      </c>
    </row>
    <row r="608" spans="1:4" ht="12.75">
      <c r="A608" s="7" t="s">
        <v>1172</v>
      </c>
      <c r="B608" s="8">
        <v>23</v>
      </c>
      <c r="C608" s="9" t="str">
        <f>HYPERLINK("https://en.wikipedia.org/wiki/Porcupine_(album)","Porcupine")</f>
        <v>Porcupine</v>
      </c>
      <c r="D608" s="7">
        <v>1982</v>
      </c>
    </row>
    <row r="609" spans="1:4" ht="12.75">
      <c r="A609" s="27" t="s">
        <v>1173</v>
      </c>
      <c r="B609" s="28">
        <v>22</v>
      </c>
      <c r="C609" s="29" t="str">
        <f>HYPERLINK("https://en.wikipedia.org/wiki/Crocodiles_(album)","Crocodiles")</f>
        <v>Crocodiles</v>
      </c>
      <c r="D609" s="27">
        <v>1980</v>
      </c>
    </row>
    <row r="610" spans="1:4" ht="12.75">
      <c r="A610" s="7" t="s">
        <v>1174</v>
      </c>
      <c r="B610" s="8">
        <v>21</v>
      </c>
      <c r="C610" s="9" t="str">
        <f t="shared" ref="C610:C611" si="37">HYPERLINK("https://en.wikipedia.org/wiki/Ocean_Rain","Ocean Rain")</f>
        <v>Ocean Rain</v>
      </c>
      <c r="D610" s="7">
        <v>1984</v>
      </c>
    </row>
    <row r="611" spans="1:4" ht="12.75">
      <c r="A611" s="27" t="s">
        <v>678</v>
      </c>
      <c r="B611" s="28">
        <v>18</v>
      </c>
      <c r="C611" s="29" t="str">
        <f t="shared" si="37"/>
        <v>Ocean Rain</v>
      </c>
      <c r="D611" s="27">
        <v>1984</v>
      </c>
    </row>
    <row r="612" spans="1:4" ht="12.75">
      <c r="A612" s="152"/>
      <c r="B612" s="153"/>
      <c r="C612" s="153"/>
      <c r="D612" s="154"/>
    </row>
    <row r="613" spans="1:4" ht="18">
      <c r="A613" s="22" t="s">
        <v>1175</v>
      </c>
      <c r="B613" s="30">
        <v>44411</v>
      </c>
      <c r="C613" s="24"/>
      <c r="D613" s="32" t="s">
        <v>1</v>
      </c>
    </row>
    <row r="614" spans="1:4" ht="12.75">
      <c r="A614" s="26" t="s">
        <v>2</v>
      </c>
      <c r="B614" s="26" t="s">
        <v>3</v>
      </c>
      <c r="C614" s="26" t="s">
        <v>4</v>
      </c>
      <c r="D614" s="26" t="s">
        <v>5</v>
      </c>
    </row>
    <row r="615" spans="1:4" ht="12.75">
      <c r="A615" s="7" t="s">
        <v>1176</v>
      </c>
      <c r="B615" s="8">
        <v>71</v>
      </c>
      <c r="C615" s="9" t="s">
        <v>1177</v>
      </c>
      <c r="D615" s="7">
        <v>2008</v>
      </c>
    </row>
    <row r="616" spans="1:4" ht="12.75">
      <c r="A616" s="27" t="s">
        <v>1178</v>
      </c>
      <c r="B616" s="28">
        <v>69</v>
      </c>
      <c r="C616" s="29" t="s">
        <v>1177</v>
      </c>
      <c r="D616" s="27">
        <v>2008</v>
      </c>
    </row>
    <row r="617" spans="1:4" ht="12.75">
      <c r="A617" s="7" t="s">
        <v>1179</v>
      </c>
      <c r="B617" s="8">
        <v>65</v>
      </c>
      <c r="C617" s="9" t="s">
        <v>1177</v>
      </c>
      <c r="D617" s="7">
        <v>2008</v>
      </c>
    </row>
    <row r="618" spans="1:4" ht="12.75">
      <c r="A618" s="27" t="s">
        <v>1180</v>
      </c>
      <c r="B618" s="28">
        <v>59</v>
      </c>
      <c r="C618" s="29" t="s">
        <v>1177</v>
      </c>
      <c r="D618" s="27">
        <v>2008</v>
      </c>
    </row>
    <row r="619" spans="1:4" ht="12.75">
      <c r="A619" s="7" t="s">
        <v>1181</v>
      </c>
      <c r="B619" s="8">
        <v>52</v>
      </c>
      <c r="C619" s="9" t="s">
        <v>1182</v>
      </c>
      <c r="D619" s="7">
        <v>2003</v>
      </c>
    </row>
    <row r="620" spans="1:4" ht="12.75">
      <c r="A620" s="27" t="s">
        <v>1183</v>
      </c>
      <c r="B620" s="28">
        <v>51</v>
      </c>
      <c r="C620" s="29" t="s">
        <v>1184</v>
      </c>
      <c r="D620" s="27">
        <v>2005</v>
      </c>
    </row>
    <row r="621" spans="1:4" ht="12.75">
      <c r="A621" s="7" t="s">
        <v>1185</v>
      </c>
      <c r="B621" s="8">
        <v>47</v>
      </c>
      <c r="C621" s="9" t="s">
        <v>1186</v>
      </c>
      <c r="D621" s="7">
        <v>2011</v>
      </c>
    </row>
    <row r="622" spans="1:4" ht="12.75">
      <c r="A622" s="27" t="s">
        <v>1187</v>
      </c>
      <c r="B622" s="28">
        <v>45</v>
      </c>
      <c r="C622" s="29" t="s">
        <v>1184</v>
      </c>
      <c r="D622" s="27">
        <v>2005</v>
      </c>
    </row>
    <row r="623" spans="1:4" ht="12.75">
      <c r="A623" s="7" t="s">
        <v>1188</v>
      </c>
      <c r="B623" s="8">
        <v>44</v>
      </c>
      <c r="C623" s="9" t="s">
        <v>1189</v>
      </c>
      <c r="D623" s="7">
        <v>2014</v>
      </c>
    </row>
    <row r="624" spans="1:4" ht="12.75">
      <c r="A624" s="27" t="s">
        <v>1190</v>
      </c>
      <c r="B624" s="28">
        <v>43</v>
      </c>
      <c r="C624" s="29" t="s">
        <v>1177</v>
      </c>
      <c r="D624" s="27">
        <v>2008</v>
      </c>
    </row>
    <row r="625" spans="1:4" ht="12.75">
      <c r="A625" s="152"/>
      <c r="B625" s="153"/>
      <c r="C625" s="153"/>
      <c r="D625" s="154"/>
    </row>
    <row r="626" spans="1:4" ht="18">
      <c r="A626" s="41" t="s">
        <v>1191</v>
      </c>
      <c r="B626" s="23">
        <v>44924</v>
      </c>
      <c r="C626" s="24"/>
      <c r="D626" s="24"/>
    </row>
    <row r="627" spans="1:4" ht="12.75">
      <c r="A627" s="26" t="s">
        <v>2</v>
      </c>
      <c r="B627" s="26" t="s">
        <v>3</v>
      </c>
      <c r="C627" s="26" t="s">
        <v>4</v>
      </c>
      <c r="D627" s="26" t="s">
        <v>5</v>
      </c>
    </row>
    <row r="628" spans="1:4" ht="12.75">
      <c r="A628" s="19" t="s">
        <v>1192</v>
      </c>
      <c r="B628" s="8">
        <v>365</v>
      </c>
      <c r="C628" s="19" t="s">
        <v>1193</v>
      </c>
      <c r="D628" s="7">
        <v>1997</v>
      </c>
    </row>
    <row r="629" spans="1:4" ht="12.75">
      <c r="A629" s="35" t="s">
        <v>1194</v>
      </c>
      <c r="B629" s="28">
        <v>334</v>
      </c>
      <c r="C629" s="35" t="s">
        <v>1193</v>
      </c>
      <c r="D629" s="27">
        <v>1997</v>
      </c>
    </row>
    <row r="630" spans="1:4" ht="12.75">
      <c r="A630" s="19" t="s">
        <v>1195</v>
      </c>
      <c r="B630" s="8">
        <v>316</v>
      </c>
      <c r="C630" s="19" t="s">
        <v>1196</v>
      </c>
      <c r="D630" s="7">
        <v>1998</v>
      </c>
    </row>
    <row r="631" spans="1:4" ht="12.75">
      <c r="A631" s="35" t="s">
        <v>1197</v>
      </c>
      <c r="B631" s="28">
        <v>288</v>
      </c>
      <c r="C631" s="35" t="s">
        <v>1193</v>
      </c>
      <c r="D631" s="27">
        <v>1997</v>
      </c>
    </row>
    <row r="632" spans="1:4" ht="12.75">
      <c r="A632" s="19" t="s">
        <v>1198</v>
      </c>
      <c r="B632" s="8">
        <v>276</v>
      </c>
      <c r="C632" s="19" t="s">
        <v>1193</v>
      </c>
      <c r="D632" s="7">
        <v>1997</v>
      </c>
    </row>
    <row r="633" spans="1:4" ht="12.75">
      <c r="A633" s="35" t="s">
        <v>1199</v>
      </c>
      <c r="B633" s="28">
        <v>235</v>
      </c>
      <c r="C633" s="35" t="s">
        <v>1191</v>
      </c>
      <c r="D633" s="27">
        <v>1995</v>
      </c>
    </row>
    <row r="634" spans="1:4" ht="12.75">
      <c r="A634" s="19" t="s">
        <v>1200</v>
      </c>
      <c r="B634" s="8">
        <v>220</v>
      </c>
      <c r="C634" s="19" t="s">
        <v>1201</v>
      </c>
      <c r="D634" s="7">
        <v>2004</v>
      </c>
    </row>
    <row r="635" spans="1:4" ht="12.75">
      <c r="A635" s="35" t="s">
        <v>1202</v>
      </c>
      <c r="B635" s="28">
        <v>194</v>
      </c>
      <c r="C635" s="35" t="s">
        <v>1193</v>
      </c>
      <c r="D635" s="27">
        <v>1997</v>
      </c>
    </row>
    <row r="636" spans="1:4" ht="12.75">
      <c r="A636" s="19" t="s">
        <v>1203</v>
      </c>
      <c r="B636" s="8">
        <v>168</v>
      </c>
      <c r="C636" s="19" t="s">
        <v>1191</v>
      </c>
      <c r="D636" s="7">
        <v>1995</v>
      </c>
    </row>
    <row r="637" spans="1:4" ht="12.75">
      <c r="A637" s="35" t="s">
        <v>1204</v>
      </c>
      <c r="B637" s="28">
        <v>164</v>
      </c>
      <c r="C637" s="35" t="s">
        <v>1205</v>
      </c>
      <c r="D637" s="27">
        <v>1994</v>
      </c>
    </row>
    <row r="638" spans="1:4" ht="12.75">
      <c r="A638" s="152"/>
      <c r="B638" s="153"/>
      <c r="C638" s="153"/>
      <c r="D638" s="154"/>
    </row>
    <row r="639" spans="1:4" ht="18">
      <c r="A639" s="22" t="str">
        <f>HYPERLINK("https://www.reddit.com/r/indieheads/comments/aimzqf/top_ten_tuesday_elvis_costello/","Elvis Costello")</f>
        <v>Elvis Costello</v>
      </c>
      <c r="B639" s="30">
        <v>43493</v>
      </c>
      <c r="C639" s="24"/>
      <c r="D639" s="32" t="s">
        <v>1</v>
      </c>
    </row>
    <row r="640" spans="1:4" ht="12.75">
      <c r="A640" s="26" t="s">
        <v>2</v>
      </c>
      <c r="B640" s="26" t="s">
        <v>3</v>
      </c>
      <c r="C640" s="26" t="s">
        <v>4</v>
      </c>
      <c r="D640" s="26" t="s">
        <v>5</v>
      </c>
    </row>
    <row r="641" spans="1:4" ht="12.75">
      <c r="A641" s="7" t="s">
        <v>1206</v>
      </c>
      <c r="B641" s="8">
        <v>103</v>
      </c>
      <c r="C641" s="9" t="str">
        <f>HYPERLINK("https://en.wikipedia.org/wiki/This_Year%27s_Model","This Year's Model (US version)")</f>
        <v>This Year's Model (US version)</v>
      </c>
      <c r="D641" s="7">
        <v>1978</v>
      </c>
    </row>
    <row r="642" spans="1:4" ht="12.75">
      <c r="A642" s="27" t="s">
        <v>1207</v>
      </c>
      <c r="B642" s="28">
        <v>94</v>
      </c>
      <c r="C642" s="29" t="str">
        <f>HYPERLINK("https://en.wikipedia.org/wiki/Armed_Forces_(album)","Armed Forces")</f>
        <v>Armed Forces</v>
      </c>
      <c r="D642" s="27">
        <v>1979</v>
      </c>
    </row>
    <row r="643" spans="1:4" ht="12.75">
      <c r="A643" s="7" t="s">
        <v>1208</v>
      </c>
      <c r="B643" s="8">
        <v>73</v>
      </c>
      <c r="C643" s="9" t="str">
        <f t="shared" ref="C643:C644" si="38">HYPERLINK("https://en.wikipedia.org/wiki/My_Aim_Is_True","My Aim Is True")</f>
        <v>My Aim Is True</v>
      </c>
      <c r="D643" s="7">
        <v>1977</v>
      </c>
    </row>
    <row r="644" spans="1:4" ht="12.75">
      <c r="A644" s="27" t="s">
        <v>1209</v>
      </c>
      <c r="B644" s="28">
        <v>71</v>
      </c>
      <c r="C644" s="29" t="str">
        <f t="shared" si="38"/>
        <v>My Aim Is True</v>
      </c>
      <c r="D644" s="27">
        <v>1977</v>
      </c>
    </row>
    <row r="645" spans="1:4" ht="12.75">
      <c r="A645" s="7" t="s">
        <v>1210</v>
      </c>
      <c r="B645" s="8">
        <v>70</v>
      </c>
      <c r="C645" s="9" t="str">
        <f>HYPERLINK("https://en.wikipedia.org/wiki/Imperial_Bedroom","Imperial Bedroom")</f>
        <v>Imperial Bedroom</v>
      </c>
      <c r="D645" s="7">
        <v>1982</v>
      </c>
    </row>
    <row r="646" spans="1:4" ht="12.75">
      <c r="A646" s="27" t="s">
        <v>1211</v>
      </c>
      <c r="B646" s="28">
        <v>58</v>
      </c>
      <c r="C646" s="29" t="str">
        <f>HYPERLINK("https://en.wikipedia.org/wiki/This_Year%27s_Model","This Year's Model")</f>
        <v>This Year's Model</v>
      </c>
      <c r="D646" s="27">
        <v>1978</v>
      </c>
    </row>
    <row r="647" spans="1:4" ht="12.75">
      <c r="A647" s="7" t="s">
        <v>1212</v>
      </c>
      <c r="B647" s="8">
        <v>56</v>
      </c>
      <c r="C647" s="9" t="str">
        <f>HYPERLINK("https://en.wikipedia.org/wiki/Armed_Forces_(album)","Armed Forces")</f>
        <v>Armed Forces</v>
      </c>
      <c r="D647" s="7">
        <v>1979</v>
      </c>
    </row>
    <row r="648" spans="1:4" ht="12.75">
      <c r="A648" s="27" t="s">
        <v>1213</v>
      </c>
      <c r="B648" s="28">
        <v>55</v>
      </c>
      <c r="C648" s="29" t="str">
        <f t="shared" ref="C648:C649" si="39">HYPERLINK("https://en.wikipedia.org/wiki/This_Year%27s_Model","This Year's Model")</f>
        <v>This Year's Model</v>
      </c>
      <c r="D648" s="27">
        <v>1978</v>
      </c>
    </row>
    <row r="649" spans="1:4" ht="12.75">
      <c r="A649" s="7" t="s">
        <v>1214</v>
      </c>
      <c r="B649" s="8">
        <v>54</v>
      </c>
      <c r="C649" s="9" t="str">
        <f t="shared" si="39"/>
        <v>This Year's Model</v>
      </c>
      <c r="D649" s="7">
        <v>1978</v>
      </c>
    </row>
    <row r="650" spans="1:4" ht="12.75">
      <c r="A650" s="27" t="s">
        <v>1215</v>
      </c>
      <c r="B650" s="28">
        <v>44</v>
      </c>
      <c r="C650" s="29" t="str">
        <f>HYPERLINK("https://en.wikipedia.org/wiki/My_Aim_Is_True","My Aim Is True (US version)")</f>
        <v>My Aim Is True (US version)</v>
      </c>
      <c r="D650" s="27">
        <v>1977</v>
      </c>
    </row>
    <row r="651" spans="1:4" ht="12.75">
      <c r="A651" s="152"/>
      <c r="B651" s="153"/>
      <c r="C651" s="153"/>
      <c r="D651" s="154"/>
    </row>
    <row r="652" spans="1:4" ht="18">
      <c r="A652" s="22" t="str">
        <f>HYPERLINK("https://www.reddit.com/r/indieheads/comments/8ousgm/top_ten_tuesday_everything_everything/","Everything Everything")</f>
        <v>Everything Everything</v>
      </c>
      <c r="B652" s="30">
        <v>43256</v>
      </c>
      <c r="C652" s="24"/>
      <c r="D652" s="24"/>
    </row>
    <row r="653" spans="1:4" ht="12.75">
      <c r="A653" s="26" t="s">
        <v>2</v>
      </c>
      <c r="B653" s="26" t="s">
        <v>3</v>
      </c>
      <c r="C653" s="26" t="s">
        <v>4</v>
      </c>
      <c r="D653" s="26" t="s">
        <v>5</v>
      </c>
    </row>
    <row r="654" spans="1:4" ht="12.75">
      <c r="A654" s="7" t="s">
        <v>1216</v>
      </c>
      <c r="B654" s="8">
        <v>289</v>
      </c>
      <c r="C654" s="9" t="str">
        <f>HYPERLINK("https://en.wikipedia.org/wiki/Get_to_Heaven","Get to Heaven")</f>
        <v>Get to Heaven</v>
      </c>
      <c r="D654" s="7">
        <v>2015</v>
      </c>
    </row>
    <row r="655" spans="1:4" ht="12.75">
      <c r="A655" s="27" t="s">
        <v>1217</v>
      </c>
      <c r="B655" s="28">
        <v>228</v>
      </c>
      <c r="C655" s="29" t="str">
        <f>HYPERLINK("https://en.wikipedia.org/wiki/A_Fever_Dream","A Fever Dream")</f>
        <v>A Fever Dream</v>
      </c>
      <c r="D655" s="27">
        <v>2017</v>
      </c>
    </row>
    <row r="656" spans="1:4" ht="12.75">
      <c r="A656" s="7" t="s">
        <v>1218</v>
      </c>
      <c r="B656" s="8">
        <v>203</v>
      </c>
      <c r="C656" s="9" t="str">
        <f>HYPERLINK("https://en.wikipedia.org/wiki/Arc_(Everything_Everything_album)","Arc")</f>
        <v>Arc</v>
      </c>
      <c r="D656" s="7">
        <v>2012</v>
      </c>
    </row>
    <row r="657" spans="1:4" ht="12.75">
      <c r="A657" s="27" t="s">
        <v>1219</v>
      </c>
      <c r="B657" s="28">
        <v>195</v>
      </c>
      <c r="C657" s="29" t="str">
        <f>HYPERLINK("https://en.wikipedia.org/wiki/Get_to_Heaven","Get to Heaven")</f>
        <v>Get to Heaven</v>
      </c>
      <c r="D657" s="27">
        <v>2015</v>
      </c>
    </row>
    <row r="658" spans="1:4" ht="12.75">
      <c r="A658" s="7" t="s">
        <v>1220</v>
      </c>
      <c r="B658" s="8">
        <v>156</v>
      </c>
      <c r="C658" s="9" t="str">
        <f>HYPERLINK("https://en.wikipedia.org/wiki/Arc_(Everything_Everything_album)","Arc")</f>
        <v>Arc</v>
      </c>
      <c r="D658" s="7">
        <v>2013</v>
      </c>
    </row>
    <row r="659" spans="1:4" ht="12.75">
      <c r="A659" s="27" t="s">
        <v>1221</v>
      </c>
      <c r="B659" s="28">
        <v>154</v>
      </c>
      <c r="C659" s="29" t="str">
        <f t="shared" ref="C659:C663" si="40">HYPERLINK("https://en.wikipedia.org/wiki/Get_to_Heaven","Get to Heaven")</f>
        <v>Get to Heaven</v>
      </c>
      <c r="D659" s="27">
        <v>2015</v>
      </c>
    </row>
    <row r="660" spans="1:4" ht="12.75">
      <c r="A660" s="7" t="s">
        <v>1222</v>
      </c>
      <c r="B660" s="8">
        <v>149</v>
      </c>
      <c r="C660" s="9" t="str">
        <f t="shared" si="40"/>
        <v>Get to Heaven</v>
      </c>
      <c r="D660" s="7">
        <v>2015</v>
      </c>
    </row>
    <row r="661" spans="1:4" ht="12.75">
      <c r="A661" s="27" t="s">
        <v>1223</v>
      </c>
      <c r="B661" s="28">
        <v>144</v>
      </c>
      <c r="C661" s="29" t="str">
        <f t="shared" si="40"/>
        <v>Get to Heaven</v>
      </c>
      <c r="D661" s="27">
        <v>2015</v>
      </c>
    </row>
    <row r="662" spans="1:4" ht="12.75">
      <c r="A662" s="7" t="s">
        <v>1224</v>
      </c>
      <c r="B662" s="8">
        <v>128</v>
      </c>
      <c r="C662" s="9" t="str">
        <f t="shared" si="40"/>
        <v>Get to Heaven</v>
      </c>
      <c r="D662" s="7">
        <v>2015</v>
      </c>
    </row>
    <row r="663" spans="1:4" ht="12.75">
      <c r="A663" s="27" t="s">
        <v>1225</v>
      </c>
      <c r="B663" s="28">
        <v>123</v>
      </c>
      <c r="C663" s="29" t="str">
        <f t="shared" si="40"/>
        <v>Get to Heaven</v>
      </c>
      <c r="D663" s="27">
        <v>2015</v>
      </c>
    </row>
    <row r="664" spans="1:4" ht="12.75">
      <c r="A664" s="152"/>
      <c r="B664" s="153"/>
      <c r="C664" s="153"/>
      <c r="D664" s="154"/>
    </row>
    <row r="665" spans="1:4" ht="18">
      <c r="A665" s="22" t="str">
        <f>HYPERLINK("https://www.reddit.com/r/indieheads/comments/5u412z/top_ten_tuesday_explosions_in_the_sky/","Explosions in the Sky")</f>
        <v>Explosions in the Sky</v>
      </c>
      <c r="B665" s="30">
        <v>42780</v>
      </c>
      <c r="C665" s="24"/>
      <c r="D665" s="24"/>
    </row>
    <row r="666" spans="1:4" ht="12.75">
      <c r="A666" s="26" t="s">
        <v>2</v>
      </c>
      <c r="B666" s="26" t="s">
        <v>3</v>
      </c>
      <c r="C666" s="26" t="s">
        <v>4</v>
      </c>
      <c r="D666" s="26" t="s">
        <v>5</v>
      </c>
    </row>
    <row r="667" spans="1:4" ht="12.75">
      <c r="A667" s="7" t="s">
        <v>1226</v>
      </c>
      <c r="B667" s="8">
        <v>103</v>
      </c>
      <c r="C667" s="9" t="str">
        <f t="shared" ref="C667:C669" si="41">HYPERLINK("https://en.wikipedia.org/wiki/The_Earth_Is_Not_a_Cold_Dead_Place","The Earth Is Not a Cold Dead Place")</f>
        <v>The Earth Is Not a Cold Dead Place</v>
      </c>
      <c r="D667" s="7">
        <v>2003</v>
      </c>
    </row>
    <row r="668" spans="1:4" ht="12.75">
      <c r="A668" s="27" t="s">
        <v>1227</v>
      </c>
      <c r="B668" s="28">
        <v>80</v>
      </c>
      <c r="C668" s="29" t="str">
        <f t="shared" si="41"/>
        <v>The Earth Is Not a Cold Dead Place</v>
      </c>
      <c r="D668" s="27">
        <v>2003</v>
      </c>
    </row>
    <row r="669" spans="1:4" ht="12.75">
      <c r="A669" s="7" t="s">
        <v>1228</v>
      </c>
      <c r="B669" s="8">
        <v>47</v>
      </c>
      <c r="C669" s="9" t="str">
        <f t="shared" si="41"/>
        <v>The Earth Is Not a Cold Dead Place</v>
      </c>
      <c r="D669" s="7">
        <v>2003</v>
      </c>
    </row>
    <row r="670" spans="1:4" ht="12.75">
      <c r="A670" s="27" t="s">
        <v>1229</v>
      </c>
      <c r="B670" s="28">
        <v>46</v>
      </c>
      <c r="C670" s="68" t="str">
        <f>HYPERLINK("https://en.wikipedia.org/wiki/Those_Who_Tell_the_Truth_Shall_Die,_Those_Who_Tell_the_Truth_Shall_Live_Forever","Those Who Tell the Truth Shall Die, Those Who Tell the Truth Shall Live Forever")</f>
        <v>Those Who Tell the Truth Shall Die, Those Who Tell the Truth Shall Live Forever</v>
      </c>
      <c r="D670" s="27">
        <v>2001</v>
      </c>
    </row>
    <row r="671" spans="1:4" ht="12.75">
      <c r="A671" s="7" t="s">
        <v>1230</v>
      </c>
      <c r="B671" s="8">
        <v>36</v>
      </c>
      <c r="C671" s="9" t="str">
        <f>HYPERLINK("https://en.wikipedia.org/wiki/All_of_a_Sudden_I_Miss_Everyone","All of a Sudden I Miss Everyone")</f>
        <v>All of a Sudden I Miss Everyone</v>
      </c>
      <c r="D671" s="7">
        <v>2007</v>
      </c>
    </row>
    <row r="672" spans="1:4" ht="12.75">
      <c r="A672" s="27" t="s">
        <v>1231</v>
      </c>
      <c r="B672" s="28">
        <v>28</v>
      </c>
      <c r="C672" s="68" t="str">
        <f>HYPERLINK("https://en.wikipedia.org/wiki/Those_Who_Tell_the_Truth_Shall_Die,_Those_Who_Tell_the_Truth_Shall_Live_Forever","Those Who Tell the Truth Shall Die, Those Who Tell the Truth Shall Live Forever")</f>
        <v>Those Who Tell the Truth Shall Die, Those Who Tell the Truth Shall Live Forever</v>
      </c>
      <c r="D672" s="27">
        <v>2001</v>
      </c>
    </row>
    <row r="673" spans="1:4" ht="12.75">
      <c r="A673" s="7" t="s">
        <v>1232</v>
      </c>
      <c r="B673" s="8">
        <v>23</v>
      </c>
      <c r="C673" s="9" t="str">
        <f>HYPERLINK("https://en.wikipedia.org/wiki/All_of_a_Sudden_I_Miss_Everyone","All of a Sudden I Miss Everyone")</f>
        <v>All of a Sudden I Miss Everyone</v>
      </c>
      <c r="D673" s="7">
        <v>2007</v>
      </c>
    </row>
    <row r="674" spans="1:4" ht="12.75">
      <c r="A674" s="27" t="s">
        <v>1233</v>
      </c>
      <c r="B674" s="28">
        <v>22</v>
      </c>
      <c r="C674" s="29" t="str">
        <f>HYPERLINK("https://en.wikipedia.org/wiki/Take_Care,_Take_Care,_Take_Care","Take Care, Take Care, Take Care")</f>
        <v>Take Care, Take Care, Take Care</v>
      </c>
      <c r="D674" s="27">
        <v>2011</v>
      </c>
    </row>
    <row r="675" spans="1:4" ht="12.75">
      <c r="A675" s="7" t="s">
        <v>1234</v>
      </c>
      <c r="B675" s="8">
        <v>22</v>
      </c>
      <c r="C675" s="9" t="str">
        <f>HYPERLINK("https://en.wikipedia.org/wiki/All_of_a_Sudden_I_Miss_Everyone","All of a Sudden I Miss Everyone")</f>
        <v>All of a Sudden I Miss Everyone</v>
      </c>
      <c r="D675" s="7">
        <v>2007</v>
      </c>
    </row>
    <row r="676" spans="1:4" ht="12.75">
      <c r="A676" s="27" t="s">
        <v>1235</v>
      </c>
      <c r="B676" s="28">
        <v>22</v>
      </c>
      <c r="C676" s="29" t="str">
        <f>HYPERLINK("https://en.wikipedia.org/wiki/Take_Care,_Take_Care,_Take_Care","Take Care, Take Care, Take Care")</f>
        <v>Take Care, Take Care, Take Care</v>
      </c>
      <c r="D676" s="27">
        <v>2011</v>
      </c>
    </row>
    <row r="677" spans="1:4" ht="12.75">
      <c r="A677" s="152"/>
      <c r="B677" s="153"/>
      <c r="C677" s="153"/>
      <c r="D677" s="154"/>
    </row>
    <row r="678" spans="1:4" ht="18">
      <c r="A678" s="22" t="str">
        <f>HYPERLINK("https://www.reddit.com/r/indieheads/comments/7u1s61/top_ten_tuesday_the_fall/","The Fall")</f>
        <v>The Fall</v>
      </c>
      <c r="B678" s="30">
        <v>43130</v>
      </c>
      <c r="C678" s="24"/>
      <c r="D678" s="24"/>
    </row>
    <row r="679" spans="1:4" ht="12.75">
      <c r="A679" s="26" t="s">
        <v>2</v>
      </c>
      <c r="B679" s="26" t="s">
        <v>3</v>
      </c>
      <c r="C679" s="26" t="s">
        <v>4</v>
      </c>
      <c r="D679" s="26" t="s">
        <v>5</v>
      </c>
    </row>
    <row r="680" spans="1:4" ht="12.75">
      <c r="A680" s="7" t="s">
        <v>1236</v>
      </c>
      <c r="B680" s="8">
        <v>201</v>
      </c>
      <c r="C680" s="9" t="str">
        <f>HYPERLINK("https://en.wikipedia.org/wiki/Hex_Enduction_Hour","Hex Enduction Hour")</f>
        <v>Hex Enduction Hour</v>
      </c>
      <c r="D680" s="7">
        <v>1982</v>
      </c>
    </row>
    <row r="681" spans="1:4" ht="12.75">
      <c r="A681" s="27" t="s">
        <v>1237</v>
      </c>
      <c r="B681" s="28">
        <v>69</v>
      </c>
      <c r="C681" s="29" t="str">
        <f>HYPERLINK("https://en.wikipedia.org/wiki/Perverted_by_Language","Perverted by Language")</f>
        <v>Perverted by Language</v>
      </c>
      <c r="D681" s="27">
        <v>1983</v>
      </c>
    </row>
    <row r="682" spans="1:4" ht="12.75">
      <c r="A682" s="7" t="s">
        <v>1238</v>
      </c>
      <c r="B682" s="8">
        <v>59</v>
      </c>
      <c r="C682" s="9" t="str">
        <f>HYPERLINK("https://en.wikipedia.org/wiki/This_Nation%27s_Saving_Grace","This Nation's Saving Grace")</f>
        <v>This Nation's Saving Grace</v>
      </c>
      <c r="D682" s="7">
        <v>1985</v>
      </c>
    </row>
    <row r="683" spans="1:4" ht="12.75">
      <c r="A683" s="27" t="s">
        <v>1239</v>
      </c>
      <c r="B683" s="28">
        <v>59</v>
      </c>
      <c r="C683" s="27"/>
      <c r="D683" s="27">
        <v>1980</v>
      </c>
    </row>
    <row r="684" spans="1:4" ht="12.75">
      <c r="A684" s="7" t="s">
        <v>1240</v>
      </c>
      <c r="B684" s="8">
        <v>51</v>
      </c>
      <c r="C684" s="9" t="str">
        <f>HYPERLINK("https://en.wikipedia.org/wiki/Hex_Enduction_Hour","Hex Enduction Hour")</f>
        <v>Hex Enduction Hour</v>
      </c>
      <c r="D684" s="7">
        <v>1982</v>
      </c>
    </row>
    <row r="685" spans="1:4" ht="12.75">
      <c r="A685" s="27" t="s">
        <v>1241</v>
      </c>
      <c r="B685" s="28">
        <v>51</v>
      </c>
      <c r="C685" s="29" t="str">
        <f>HYPERLINK("https://en.wikipedia.org/wiki/Perverted_by_Language","Perverted by Language")</f>
        <v>Perverted by Language</v>
      </c>
      <c r="D685" s="27">
        <v>1983</v>
      </c>
    </row>
    <row r="686" spans="1:4" ht="12.75">
      <c r="A686" s="7" t="s">
        <v>1242</v>
      </c>
      <c r="B686" s="8">
        <v>47</v>
      </c>
      <c r="C686" s="9" t="str">
        <f>HYPERLINK("https://en.wikipedia.org/wiki/Fall_Heads_Roll","Fall Heads Roll")</f>
        <v>Fall Heads Roll</v>
      </c>
      <c r="D686" s="7">
        <v>2005</v>
      </c>
    </row>
    <row r="687" spans="1:4" ht="12.75">
      <c r="A687" s="27" t="s">
        <v>1243</v>
      </c>
      <c r="B687" s="28">
        <v>42</v>
      </c>
      <c r="C687" s="29" t="str">
        <f>HYPERLINK("https://en.wikipedia.org/wiki/Live_at_the_Witch_Trials","Live at the Witch Trials")</f>
        <v>Live at the Witch Trials</v>
      </c>
      <c r="D687" s="27">
        <v>1979</v>
      </c>
    </row>
    <row r="688" spans="1:4" ht="12.75">
      <c r="A688" s="7" t="s">
        <v>1244</v>
      </c>
      <c r="B688" s="8">
        <v>40</v>
      </c>
      <c r="C688" s="9" t="str">
        <f>HYPERLINK("https://en.wikipedia.org/wiki/Grotesque_(After_the_Gramme)","Grotesque (After the Gramme) ")</f>
        <v xml:space="preserve">Grotesque (After the Gramme) </v>
      </c>
      <c r="D688" s="7">
        <v>1980</v>
      </c>
    </row>
    <row r="689" spans="1:4" ht="12.75">
      <c r="A689" s="27" t="s">
        <v>1245</v>
      </c>
      <c r="B689" s="28">
        <v>38</v>
      </c>
      <c r="C689" s="29" t="str">
        <f>HYPERLINK("https://en.wikipedia.org/wiki/This_Nation%27s_Saving_Grace","This Nation's Saving Grace")</f>
        <v>This Nation's Saving Grace</v>
      </c>
      <c r="D689" s="27">
        <v>1985</v>
      </c>
    </row>
    <row r="690" spans="1:4" ht="12.75">
      <c r="A690" s="152"/>
      <c r="B690" s="153"/>
      <c r="C690" s="153"/>
      <c r="D690" s="154"/>
    </row>
    <row r="691" spans="1:4" ht="18">
      <c r="A691" s="22" t="str">
        <f>HYPERLINK("https://www.reddit.com/r/indieheads/comments/7hps4q/top_ten_tuesday_father_john_misty/","Father John Misty")</f>
        <v>Father John Misty</v>
      </c>
      <c r="B691" s="30">
        <v>43074</v>
      </c>
      <c r="C691" s="24"/>
      <c r="D691" s="24"/>
    </row>
    <row r="692" spans="1:4" ht="12.75">
      <c r="A692" s="26" t="s">
        <v>2</v>
      </c>
      <c r="B692" s="26" t="s">
        <v>3</v>
      </c>
      <c r="C692" s="26" t="s">
        <v>4</v>
      </c>
      <c r="D692" s="26" t="s">
        <v>5</v>
      </c>
    </row>
    <row r="693" spans="1:4" ht="12.75">
      <c r="A693" s="7" t="s">
        <v>1246</v>
      </c>
      <c r="B693" s="8">
        <v>698</v>
      </c>
      <c r="C693" s="9" t="str">
        <f t="shared" ref="C693:C695" si="42">HYPERLINK("https://en.wikipedia.org/wiki/I_Love_You,_Honeybear","I Love You, Honeybear")</f>
        <v>I Love You, Honeybear</v>
      </c>
      <c r="D693" s="7">
        <v>2015</v>
      </c>
    </row>
    <row r="694" spans="1:4" ht="12.75">
      <c r="A694" s="27" t="s">
        <v>1247</v>
      </c>
      <c r="B694" s="28">
        <v>525</v>
      </c>
      <c r="C694" s="29" t="str">
        <f t="shared" si="42"/>
        <v>I Love You, Honeybear</v>
      </c>
      <c r="D694" s="27">
        <v>2014</v>
      </c>
    </row>
    <row r="695" spans="1:4" ht="12.75">
      <c r="A695" s="7" t="s">
        <v>1248</v>
      </c>
      <c r="B695" s="8">
        <v>426</v>
      </c>
      <c r="C695" s="9" t="str">
        <f t="shared" si="42"/>
        <v>I Love You, Honeybear</v>
      </c>
      <c r="D695" s="7">
        <v>2015</v>
      </c>
    </row>
    <row r="696" spans="1:4" ht="12.75">
      <c r="A696" s="27" t="s">
        <v>1249</v>
      </c>
      <c r="B696" s="28">
        <v>406</v>
      </c>
      <c r="C696" s="29" t="str">
        <f>HYPERLINK("https://en.wikipedia.org/wiki/Pure_Comedy","Pure Comedy")</f>
        <v>Pure Comedy</v>
      </c>
      <c r="D696" s="27">
        <v>2017</v>
      </c>
    </row>
    <row r="697" spans="1:4" ht="12.75">
      <c r="A697" s="7" t="s">
        <v>1250</v>
      </c>
      <c r="B697" s="8">
        <v>338</v>
      </c>
      <c r="C697" s="9" t="str">
        <f t="shared" ref="C697:C698" si="43">HYPERLINK("https://en.wikipedia.org/wiki/I_Love_You,_Honeybear","I Love You, Honeybear")</f>
        <v>I Love You, Honeybear</v>
      </c>
      <c r="D697" s="7">
        <v>2015</v>
      </c>
    </row>
    <row r="698" spans="1:4" ht="12.75">
      <c r="A698" s="27" t="s">
        <v>1251</v>
      </c>
      <c r="B698" s="28">
        <v>329</v>
      </c>
      <c r="C698" s="29" t="str">
        <f t="shared" si="43"/>
        <v>I Love You, Honeybear</v>
      </c>
      <c r="D698" s="27">
        <v>2015</v>
      </c>
    </row>
    <row r="699" spans="1:4" ht="12.75">
      <c r="A699" s="7" t="s">
        <v>1252</v>
      </c>
      <c r="B699" s="8">
        <v>286</v>
      </c>
      <c r="C699" s="9" t="str">
        <f>HYPERLINK("https://en.wikipedia.org/wiki/Fear_Fun","Fear Fun")</f>
        <v>Fear Fun</v>
      </c>
      <c r="D699" s="7">
        <v>2012</v>
      </c>
    </row>
    <row r="700" spans="1:4" ht="12.75">
      <c r="A700" s="27" t="s">
        <v>1253</v>
      </c>
      <c r="B700" s="28">
        <v>269</v>
      </c>
      <c r="C700" s="29" t="str">
        <f t="shared" ref="C700:C701" si="44">HYPERLINK("https://en.wikipedia.org/wiki/Pure_Comedy","Pure Comedy")</f>
        <v>Pure Comedy</v>
      </c>
      <c r="D700" s="27">
        <v>2017</v>
      </c>
    </row>
    <row r="701" spans="1:4" ht="12.75">
      <c r="A701" s="7" t="s">
        <v>1254</v>
      </c>
      <c r="B701" s="8">
        <v>251</v>
      </c>
      <c r="C701" s="9" t="str">
        <f t="shared" si="44"/>
        <v>Pure Comedy</v>
      </c>
      <c r="D701" s="7">
        <v>2017</v>
      </c>
    </row>
    <row r="702" spans="1:4" ht="12.75">
      <c r="A702" s="27" t="s">
        <v>1255</v>
      </c>
      <c r="B702" s="28">
        <v>250</v>
      </c>
      <c r="C702" s="29" t="str">
        <f>HYPERLINK("https://en.wikipedia.org/wiki/I_Love_You,_Honeybear","I Love You, Honeybear")</f>
        <v>I Love You, Honeybear</v>
      </c>
      <c r="D702" s="27">
        <v>2014</v>
      </c>
    </row>
    <row r="703" spans="1:4" ht="12.75">
      <c r="A703" s="152"/>
      <c r="B703" s="153"/>
      <c r="C703" s="153"/>
      <c r="D703" s="154"/>
    </row>
    <row r="704" spans="1:4" ht="18">
      <c r="A704" s="22" t="str">
        <f>HYPERLINK("https://www.reddit.com/r/indieheads/comments/c23147/top_ten_tuesday_feist/","Feist")</f>
        <v>Feist</v>
      </c>
      <c r="B704" s="30">
        <v>43634</v>
      </c>
      <c r="C704" s="24"/>
      <c r="D704" s="32" t="s">
        <v>1</v>
      </c>
    </row>
    <row r="705" spans="1:4" ht="12.75">
      <c r="A705" s="26" t="s">
        <v>2</v>
      </c>
      <c r="B705" s="26" t="s">
        <v>3</v>
      </c>
      <c r="C705" s="26" t="s">
        <v>4</v>
      </c>
      <c r="D705" s="26" t="s">
        <v>5</v>
      </c>
    </row>
    <row r="706" spans="1:4" ht="12.75">
      <c r="A706" s="7" t="s">
        <v>1256</v>
      </c>
      <c r="B706" s="8">
        <v>112</v>
      </c>
      <c r="C706" s="9" t="str">
        <f>HYPERLINK("https://en.wikipedia.org/wiki/The_Reminder","The Reminder")</f>
        <v>The Reminder</v>
      </c>
      <c r="D706" s="7">
        <v>2007</v>
      </c>
    </row>
    <row r="707" spans="1:4" ht="12.75">
      <c r="A707" s="27" t="s">
        <v>1257</v>
      </c>
      <c r="B707" s="28">
        <v>73</v>
      </c>
      <c r="C707" s="29" t="str">
        <f>HYPERLINK("https://en.wikipedia.org/wiki/Let_It_Die_(album)","Let It Die")</f>
        <v>Let It Die</v>
      </c>
      <c r="D707" s="27">
        <v>2004</v>
      </c>
    </row>
    <row r="708" spans="1:4" ht="12.75">
      <c r="A708" s="7" t="s">
        <v>1258</v>
      </c>
      <c r="B708" s="8">
        <v>73</v>
      </c>
      <c r="C708" s="9" t="str">
        <f>HYPERLINK("https://en.wikipedia.org/wiki/Pleasure_(Feist_album)","Pleasure")</f>
        <v>Pleasure</v>
      </c>
      <c r="D708" s="7">
        <v>2017</v>
      </c>
    </row>
    <row r="709" spans="1:4" ht="12.75">
      <c r="A709" s="27" t="s">
        <v>1259</v>
      </c>
      <c r="B709" s="28">
        <v>59</v>
      </c>
      <c r="C709" s="29" t="str">
        <f t="shared" ref="C709:C710" si="45">HYPERLINK("https://en.wikipedia.org/wiki/The_Reminder","The Reminder")</f>
        <v>The Reminder</v>
      </c>
      <c r="D709" s="27">
        <v>2007</v>
      </c>
    </row>
    <row r="710" spans="1:4" ht="12.75">
      <c r="A710" s="40">
        <v>1234</v>
      </c>
      <c r="B710" s="8">
        <v>55</v>
      </c>
      <c r="C710" s="9" t="str">
        <f t="shared" si="45"/>
        <v>The Reminder</v>
      </c>
      <c r="D710" s="7">
        <v>2007</v>
      </c>
    </row>
    <row r="711" spans="1:4" ht="12.75">
      <c r="A711" s="27" t="s">
        <v>1260</v>
      </c>
      <c r="B711" s="28">
        <v>50</v>
      </c>
      <c r="C711" s="29" t="str">
        <f>HYPERLINK("https://en.wikipedia.org/wiki/Pleasure_(Feist_album)","Pleasure")</f>
        <v>Pleasure</v>
      </c>
      <c r="D711" s="27">
        <v>2017</v>
      </c>
    </row>
    <row r="712" spans="1:4" ht="12.75">
      <c r="A712" s="7" t="s">
        <v>1261</v>
      </c>
      <c r="B712" s="8">
        <v>34</v>
      </c>
      <c r="C712" s="9" t="str">
        <f>HYPERLINK("https://en.wikipedia.org/wiki/The_Reminder","The Reminder")</f>
        <v>The Reminder</v>
      </c>
      <c r="D712" s="7">
        <v>2007</v>
      </c>
    </row>
    <row r="713" spans="1:4" ht="12.75">
      <c r="A713" s="27" t="s">
        <v>1262</v>
      </c>
      <c r="B713" s="28">
        <v>31</v>
      </c>
      <c r="C713" s="29" t="str">
        <f>HYPERLINK("https://en.wikipedia.org/wiki/Metals_(album)","Metals")</f>
        <v>Metals</v>
      </c>
      <c r="D713" s="27">
        <v>2011</v>
      </c>
    </row>
    <row r="714" spans="1:4" ht="12.75">
      <c r="A714" s="7" t="s">
        <v>1263</v>
      </c>
      <c r="B714" s="8">
        <v>30</v>
      </c>
      <c r="C714" s="9" t="str">
        <f>HYPERLINK("https://en.wikipedia.org/wiki/The_Reminder","The Reminder")</f>
        <v>The Reminder</v>
      </c>
      <c r="D714" s="7">
        <v>2007</v>
      </c>
    </row>
    <row r="715" spans="1:4" ht="12.75">
      <c r="A715" s="27" t="s">
        <v>1264</v>
      </c>
      <c r="B715" s="28">
        <v>29</v>
      </c>
      <c r="C715" s="29" t="str">
        <f>HYPERLINK("https://en.wikipedia.org/wiki/Let_It_Die_(album)","Let It Die")</f>
        <v>Let It Die</v>
      </c>
      <c r="D715" s="27">
        <v>2004</v>
      </c>
    </row>
    <row r="716" spans="1:4" ht="12.75">
      <c r="A716" s="152"/>
      <c r="B716" s="153"/>
      <c r="C716" s="153"/>
      <c r="D716" s="154"/>
    </row>
    <row r="717" spans="1:4" ht="18">
      <c r="A717" s="22" t="s">
        <v>1265</v>
      </c>
      <c r="B717" s="30">
        <v>44313</v>
      </c>
      <c r="C717" s="24"/>
      <c r="D717" s="32" t="s">
        <v>1</v>
      </c>
    </row>
    <row r="718" spans="1:4" ht="12.75">
      <c r="A718" s="26" t="s">
        <v>2</v>
      </c>
      <c r="B718" s="26" t="s">
        <v>1266</v>
      </c>
      <c r="C718" s="26" t="s">
        <v>4</v>
      </c>
      <c r="D718" s="26" t="s">
        <v>5</v>
      </c>
    </row>
    <row r="719" spans="1:4" ht="12.75">
      <c r="A719" s="7" t="s">
        <v>1267</v>
      </c>
      <c r="B719" s="8">
        <v>120</v>
      </c>
      <c r="C719" s="9" t="s">
        <v>1265</v>
      </c>
      <c r="D719" s="7">
        <v>2013</v>
      </c>
    </row>
    <row r="720" spans="1:4" ht="12.75">
      <c r="A720" s="27" t="s">
        <v>1268</v>
      </c>
      <c r="B720" s="28">
        <v>78</v>
      </c>
      <c r="C720" s="29" t="s">
        <v>1265</v>
      </c>
      <c r="D720" s="27">
        <v>2012</v>
      </c>
    </row>
    <row r="721" spans="1:4" ht="12.75">
      <c r="A721" s="7" t="s">
        <v>1269</v>
      </c>
      <c r="B721" s="8">
        <v>67</v>
      </c>
      <c r="C721" s="9" t="s">
        <v>1270</v>
      </c>
      <c r="D721" s="7">
        <v>2015</v>
      </c>
    </row>
    <row r="722" spans="1:4" ht="12.75">
      <c r="A722" s="27" t="s">
        <v>1271</v>
      </c>
      <c r="B722" s="28">
        <v>65</v>
      </c>
      <c r="C722" s="29" t="s">
        <v>1265</v>
      </c>
      <c r="D722" s="27">
        <v>2013</v>
      </c>
    </row>
    <row r="723" spans="1:4" ht="12.75">
      <c r="A723" s="7" t="s">
        <v>1272</v>
      </c>
      <c r="B723" s="8">
        <v>58</v>
      </c>
      <c r="C723" s="9" t="s">
        <v>1265</v>
      </c>
      <c r="D723" s="7">
        <v>2013</v>
      </c>
    </row>
    <row r="724" spans="1:4" ht="12.75">
      <c r="A724" s="27" t="s">
        <v>1273</v>
      </c>
      <c r="B724" s="28">
        <v>50</v>
      </c>
      <c r="C724" s="29" t="s">
        <v>1265</v>
      </c>
      <c r="D724" s="27">
        <v>2013</v>
      </c>
    </row>
    <row r="725" spans="1:4" ht="12.75">
      <c r="A725" s="7" t="s">
        <v>1274</v>
      </c>
      <c r="B725" s="8">
        <v>40</v>
      </c>
      <c r="C725" s="9" t="s">
        <v>1265</v>
      </c>
      <c r="D725" s="7">
        <v>2013</v>
      </c>
    </row>
    <row r="726" spans="1:4" ht="12.75">
      <c r="A726" s="27" t="s">
        <v>1275</v>
      </c>
      <c r="B726" s="28">
        <v>36</v>
      </c>
      <c r="C726" s="29" t="s">
        <v>1270</v>
      </c>
      <c r="D726" s="27">
        <v>2015</v>
      </c>
    </row>
    <row r="727" spans="1:4" ht="12.75">
      <c r="A727" s="7" t="s">
        <v>1276</v>
      </c>
      <c r="B727" s="8">
        <v>36</v>
      </c>
      <c r="C727" s="9" t="s">
        <v>1265</v>
      </c>
      <c r="D727" s="7">
        <v>2013</v>
      </c>
    </row>
    <row r="728" spans="1:4" ht="12.75">
      <c r="A728" s="27" t="s">
        <v>1277</v>
      </c>
      <c r="B728" s="28">
        <v>32</v>
      </c>
      <c r="C728" s="29" t="s">
        <v>1265</v>
      </c>
      <c r="D728" s="27">
        <v>2013</v>
      </c>
    </row>
    <row r="729" spans="1:4" ht="12.75">
      <c r="A729" s="152"/>
      <c r="B729" s="153"/>
      <c r="C729" s="153"/>
      <c r="D729" s="154"/>
    </row>
    <row r="730" spans="1:4" ht="18">
      <c r="A730" s="22" t="s">
        <v>1278</v>
      </c>
      <c r="B730" s="30">
        <v>44061</v>
      </c>
      <c r="C730" s="24"/>
      <c r="D730" s="32" t="s">
        <v>1</v>
      </c>
    </row>
    <row r="731" spans="1:4" ht="12.75">
      <c r="A731" s="26" t="s">
        <v>2</v>
      </c>
      <c r="B731" s="26" t="s">
        <v>3</v>
      </c>
      <c r="C731" s="26" t="s">
        <v>4</v>
      </c>
      <c r="D731" s="26" t="s">
        <v>5</v>
      </c>
    </row>
    <row r="732" spans="1:4" ht="12.75">
      <c r="A732" s="7" t="s">
        <v>1279</v>
      </c>
      <c r="B732" s="8">
        <v>465</v>
      </c>
      <c r="C732" s="9" t="s">
        <v>1280</v>
      </c>
      <c r="D732" s="7">
        <v>2012</v>
      </c>
    </row>
    <row r="733" spans="1:4" ht="12.75">
      <c r="A733" s="27" t="s">
        <v>1281</v>
      </c>
      <c r="B733" s="28">
        <v>431</v>
      </c>
      <c r="C733" s="29" t="s">
        <v>1282</v>
      </c>
      <c r="D733" s="27">
        <v>1999</v>
      </c>
    </row>
    <row r="734" spans="1:4" ht="12.75">
      <c r="A734" s="7" t="s">
        <v>1283</v>
      </c>
      <c r="B734" s="8">
        <v>361</v>
      </c>
      <c r="C734" s="9" t="s">
        <v>1284</v>
      </c>
      <c r="D734" s="7">
        <v>2020</v>
      </c>
    </row>
    <row r="735" spans="1:4" ht="12.75">
      <c r="A735" s="27" t="s">
        <v>1285</v>
      </c>
      <c r="B735" s="28">
        <v>352</v>
      </c>
      <c r="C735" s="29" t="s">
        <v>1280</v>
      </c>
      <c r="D735" s="27">
        <v>2012</v>
      </c>
    </row>
    <row r="736" spans="1:4" ht="12.75">
      <c r="A736" s="7" t="s">
        <v>1286</v>
      </c>
      <c r="B736" s="8">
        <v>304</v>
      </c>
      <c r="C736" s="9" t="s">
        <v>1284</v>
      </c>
      <c r="D736" s="7">
        <v>2020</v>
      </c>
    </row>
    <row r="737" spans="1:4" ht="12.75">
      <c r="A737" s="27" t="s">
        <v>1287</v>
      </c>
      <c r="B737" s="28">
        <v>270</v>
      </c>
      <c r="C737" s="29" t="s">
        <v>1282</v>
      </c>
      <c r="D737" s="27">
        <v>1999</v>
      </c>
    </row>
    <row r="738" spans="1:4" ht="12.75">
      <c r="A738" s="7" t="s">
        <v>1288</v>
      </c>
      <c r="B738" s="8">
        <v>262</v>
      </c>
      <c r="C738" s="9" t="s">
        <v>1280</v>
      </c>
      <c r="D738" s="7">
        <v>2012</v>
      </c>
    </row>
    <row r="739" spans="1:4" ht="12.75">
      <c r="A739" s="27" t="s">
        <v>1289</v>
      </c>
      <c r="B739" s="28">
        <v>246</v>
      </c>
      <c r="C739" s="29" t="s">
        <v>1280</v>
      </c>
      <c r="D739" s="27">
        <v>2012</v>
      </c>
    </row>
    <row r="740" spans="1:4" ht="12.75">
      <c r="A740" s="7" t="s">
        <v>1290</v>
      </c>
      <c r="B740" s="8">
        <v>232</v>
      </c>
      <c r="C740" s="9" t="s">
        <v>1284</v>
      </c>
      <c r="D740" s="7">
        <v>2020</v>
      </c>
    </row>
    <row r="741" spans="1:4" ht="12.75">
      <c r="A741" s="27" t="s">
        <v>1291</v>
      </c>
      <c r="B741" s="28">
        <v>211</v>
      </c>
      <c r="C741" s="29" t="s">
        <v>1284</v>
      </c>
      <c r="D741" s="27">
        <v>2020</v>
      </c>
    </row>
    <row r="742" spans="1:4" ht="12.75">
      <c r="A742" s="155"/>
      <c r="B742" s="156"/>
      <c r="C742" s="156"/>
      <c r="D742" s="156"/>
    </row>
    <row r="743" spans="1:4" ht="18">
      <c r="A743" s="13" t="s">
        <v>1292</v>
      </c>
      <c r="B743" s="14">
        <v>44992</v>
      </c>
      <c r="C743" s="15"/>
      <c r="D743" s="15"/>
    </row>
    <row r="744" spans="1:4" ht="12.75">
      <c r="A744" s="15" t="s">
        <v>2</v>
      </c>
      <c r="B744" s="15" t="s">
        <v>3</v>
      </c>
      <c r="C744" s="15" t="s">
        <v>4</v>
      </c>
      <c r="D744" s="15" t="s">
        <v>5</v>
      </c>
    </row>
    <row r="745" spans="1:4" ht="12.75">
      <c r="A745" s="16" t="s">
        <v>1293</v>
      </c>
      <c r="B745" s="16">
        <v>85</v>
      </c>
      <c r="C745" s="16" t="s">
        <v>1293</v>
      </c>
      <c r="D745" s="16">
        <v>1996</v>
      </c>
    </row>
    <row r="746" spans="1:4" ht="12.75">
      <c r="A746" s="17" t="s">
        <v>272</v>
      </c>
      <c r="B746" s="17">
        <v>62</v>
      </c>
      <c r="C746" s="17" t="s">
        <v>1294</v>
      </c>
      <c r="D746" s="17">
        <v>1997</v>
      </c>
    </row>
    <row r="747" spans="1:4" ht="12.75">
      <c r="A747" s="16" t="s">
        <v>1295</v>
      </c>
      <c r="B747" s="16">
        <v>60</v>
      </c>
      <c r="C747" s="16" t="s">
        <v>1294</v>
      </c>
      <c r="D747" s="16">
        <v>1997</v>
      </c>
    </row>
    <row r="748" spans="1:4" ht="12.75">
      <c r="A748" s="69" t="s">
        <v>3942</v>
      </c>
      <c r="B748" s="17">
        <v>58</v>
      </c>
      <c r="C748" s="17" t="s">
        <v>1296</v>
      </c>
      <c r="D748" s="17">
        <v>1999</v>
      </c>
    </row>
    <row r="749" spans="1:4" ht="12.75">
      <c r="A749" s="70" t="s">
        <v>3991</v>
      </c>
      <c r="B749" s="16">
        <v>56</v>
      </c>
      <c r="C749" s="16" t="s">
        <v>1296</v>
      </c>
      <c r="D749" s="16">
        <v>1999</v>
      </c>
    </row>
    <row r="750" spans="1:4" ht="12.75">
      <c r="A750" s="17" t="s">
        <v>1297</v>
      </c>
      <c r="B750" s="17">
        <v>30</v>
      </c>
      <c r="C750" s="17" t="s">
        <v>1294</v>
      </c>
      <c r="D750" s="17">
        <v>1997</v>
      </c>
    </row>
    <row r="751" spans="1:4" ht="12.75">
      <c r="A751" s="16" t="s">
        <v>1298</v>
      </c>
      <c r="B751" s="16">
        <v>27</v>
      </c>
      <c r="C751" s="16" t="s">
        <v>1299</v>
      </c>
      <c r="D751" s="16">
        <v>1996</v>
      </c>
    </row>
    <row r="752" spans="1:4" ht="12.75">
      <c r="A752" s="69" t="s">
        <v>3995</v>
      </c>
      <c r="B752" s="17">
        <v>25</v>
      </c>
      <c r="C752" s="17" t="s">
        <v>1294</v>
      </c>
      <c r="D752" s="17">
        <v>1997</v>
      </c>
    </row>
    <row r="753" spans="1:4" ht="12.75">
      <c r="A753" s="70" t="s">
        <v>3943</v>
      </c>
      <c r="B753" s="16">
        <v>20</v>
      </c>
      <c r="C753" s="16" t="s">
        <v>1300</v>
      </c>
      <c r="D753" s="16">
        <v>1992</v>
      </c>
    </row>
    <row r="754" spans="1:4" ht="12.75">
      <c r="A754" s="17" t="s">
        <v>1301</v>
      </c>
      <c r="B754" s="17">
        <v>19</v>
      </c>
      <c r="C754" s="17" t="s">
        <v>1294</v>
      </c>
      <c r="D754" s="17">
        <v>1997</v>
      </c>
    </row>
    <row r="755" spans="1:4" ht="12.75">
      <c r="A755" s="152"/>
      <c r="B755" s="153"/>
      <c r="C755" s="153"/>
      <c r="D755" s="154"/>
    </row>
    <row r="756" spans="1:4" ht="18">
      <c r="A756" s="22" t="str">
        <f>HYPERLINK("https://www.reddit.com/r/indieheads/comments/g5djkc/top_ten_tuesday_fka_twigs/","FKA twigs")</f>
        <v>FKA twigs</v>
      </c>
      <c r="B756" s="30">
        <v>43942</v>
      </c>
      <c r="C756" s="24"/>
      <c r="D756" s="32" t="s">
        <v>1</v>
      </c>
    </row>
    <row r="757" spans="1:4" ht="12.75">
      <c r="A757" s="26" t="s">
        <v>2</v>
      </c>
      <c r="B757" s="26" t="s">
        <v>3</v>
      </c>
      <c r="C757" s="26" t="s">
        <v>4</v>
      </c>
      <c r="D757" s="26" t="s">
        <v>5</v>
      </c>
    </row>
    <row r="758" spans="1:4" ht="12.75">
      <c r="A758" s="7" t="s">
        <v>1302</v>
      </c>
      <c r="B758" s="8">
        <v>620</v>
      </c>
      <c r="C758" s="9" t="str">
        <f>HYPERLINK("https://en.wikipedia.org/wiki/Magdalene_(album)","Magdalene")</f>
        <v>Magdalene</v>
      </c>
      <c r="D758" s="7">
        <v>2019</v>
      </c>
    </row>
    <row r="759" spans="1:4" ht="12.75">
      <c r="A759" s="27" t="s">
        <v>1303</v>
      </c>
      <c r="B759" s="28">
        <v>508</v>
      </c>
      <c r="C759" s="29" t="str">
        <f t="shared" ref="C759:C760" si="46">HYPERLINK("https://en.wikipedia.org/wiki/LP1_(FKA_Twigs_album)","LP1")</f>
        <v>LP1</v>
      </c>
      <c r="D759" s="27">
        <v>2014</v>
      </c>
    </row>
    <row r="760" spans="1:4" ht="12.75">
      <c r="A760" s="7" t="s">
        <v>1304</v>
      </c>
      <c r="B760" s="8">
        <v>400</v>
      </c>
      <c r="C760" s="9" t="str">
        <f t="shared" si="46"/>
        <v>LP1</v>
      </c>
      <c r="D760" s="7">
        <v>2014</v>
      </c>
    </row>
    <row r="761" spans="1:4" ht="12.75">
      <c r="A761" s="27" t="s">
        <v>1305</v>
      </c>
      <c r="B761" s="28">
        <v>365</v>
      </c>
      <c r="C761" s="29" t="str">
        <f t="shared" ref="C761:C762" si="47">HYPERLINK("https://en.wikipedia.org/wiki/Magdalene_(album)","Magdalene")</f>
        <v>Magdalene</v>
      </c>
      <c r="D761" s="27">
        <v>2019</v>
      </c>
    </row>
    <row r="762" spans="1:4" ht="12.75">
      <c r="A762" s="7" t="s">
        <v>1306</v>
      </c>
      <c r="B762" s="8">
        <v>359</v>
      </c>
      <c r="C762" s="9" t="str">
        <f t="shared" si="47"/>
        <v>Magdalene</v>
      </c>
      <c r="D762" s="7">
        <v>2019</v>
      </c>
    </row>
    <row r="763" spans="1:4" ht="12.75">
      <c r="A763" s="27" t="s">
        <v>1307</v>
      </c>
      <c r="B763" s="28">
        <v>315</v>
      </c>
      <c r="C763" s="29" t="str">
        <f>HYPERLINK("https://en.wikipedia.org/wiki/M3LL155X","M3LL155X")</f>
        <v>M3LL155X</v>
      </c>
      <c r="D763" s="27">
        <v>2015</v>
      </c>
    </row>
    <row r="764" spans="1:4" ht="12.75">
      <c r="A764" s="7" t="s">
        <v>1308</v>
      </c>
      <c r="B764" s="8">
        <v>290</v>
      </c>
      <c r="C764" s="9" t="str">
        <f>HYPERLINK("https://en.wikipedia.org/wiki/Magdalene_(album)","Magdalene")</f>
        <v>Magdalene</v>
      </c>
      <c r="D764" s="7">
        <v>2019</v>
      </c>
    </row>
    <row r="765" spans="1:4" ht="12.75">
      <c r="A765" s="27" t="s">
        <v>1309</v>
      </c>
      <c r="B765" s="28">
        <v>258</v>
      </c>
      <c r="C765" s="29" t="str">
        <f>HYPERLINK("https://en.wikipedia.org/wiki/EP2_(FKA_Twigs_EP)","EP2")</f>
        <v>EP2</v>
      </c>
      <c r="D765" s="27">
        <v>2013</v>
      </c>
    </row>
    <row r="766" spans="1:4" ht="12.75">
      <c r="A766" s="7" t="s">
        <v>1310</v>
      </c>
      <c r="B766" s="8">
        <v>210</v>
      </c>
      <c r="C766" s="9" t="str">
        <f>HYPERLINK("https://en.wikipedia.org/wiki/Magdalene_(album)","Magdalene")</f>
        <v>Magdalene</v>
      </c>
      <c r="D766" s="7">
        <v>2019</v>
      </c>
    </row>
    <row r="767" spans="1:4" ht="12.75">
      <c r="A767" s="27" t="s">
        <v>1311</v>
      </c>
      <c r="B767" s="28">
        <v>207</v>
      </c>
      <c r="C767" s="29" t="str">
        <f>HYPERLINK("https://en.wikipedia.org/wiki/M3LL155X","M3LL155X")</f>
        <v>M3LL155X</v>
      </c>
      <c r="D767" s="27">
        <v>2015</v>
      </c>
    </row>
    <row r="768" spans="1:4" ht="12.75">
      <c r="A768" s="152"/>
      <c r="B768" s="153"/>
      <c r="C768" s="153"/>
      <c r="D768" s="154"/>
    </row>
    <row r="769" spans="1:4" ht="18">
      <c r="A769" s="22" t="s">
        <v>1312</v>
      </c>
      <c r="B769" s="23">
        <v>42129</v>
      </c>
      <c r="C769" s="24"/>
      <c r="D769" s="32" t="s">
        <v>1</v>
      </c>
    </row>
    <row r="770" spans="1:4" ht="12.75">
      <c r="A770" s="26" t="s">
        <v>2</v>
      </c>
      <c r="B770" s="26" t="s">
        <v>3</v>
      </c>
      <c r="C770" s="26" t="s">
        <v>4</v>
      </c>
      <c r="D770" s="26" t="s">
        <v>5</v>
      </c>
    </row>
    <row r="771" spans="1:4" ht="12.75">
      <c r="A771" s="61" t="str">
        <f>HYPERLINK("https://www.youtube.com/watch?v=Qtd2ceS_l1o","Race for the Prize")</f>
        <v>Race for the Prize</v>
      </c>
      <c r="B771" s="8">
        <v>190</v>
      </c>
      <c r="C771" s="9" t="str">
        <f>HYPERLINK("http://en.wikipedia.org/wiki/The_Soft_Bulletin","The Soft Bulletin")</f>
        <v>The Soft Bulletin</v>
      </c>
      <c r="D771" s="7">
        <v>1999</v>
      </c>
    </row>
    <row r="772" spans="1:4" ht="12.75">
      <c r="A772" s="46" t="str">
        <f>HYPERLINK("https://www.youtube.com/watch?v=5zYOKFjpm9s","Do You Realize??")</f>
        <v>Do You Realize??</v>
      </c>
      <c r="B772" s="28">
        <v>152</v>
      </c>
      <c r="C772" s="12" t="str">
        <f t="shared" ref="C772:C773" si="48">HYPERLINK("http://en.wikipedia.org/wiki/Yoshimi_Battles_the_Pink_Robots","Yoshimi Battles the Pink Robots")</f>
        <v>Yoshimi Battles the Pink Robots</v>
      </c>
      <c r="D772" s="27">
        <v>2002</v>
      </c>
    </row>
    <row r="773" spans="1:4" ht="12.75">
      <c r="A773" s="61" t="str">
        <f>HYPERLINK("https://www.youtube.com/watch?v=jcFKlEfu_eU","Fight Test")</f>
        <v>Fight Test</v>
      </c>
      <c r="B773" s="8">
        <v>124</v>
      </c>
      <c r="C773" s="9" t="str">
        <f t="shared" si="48"/>
        <v>Yoshimi Battles the Pink Robots</v>
      </c>
      <c r="D773" s="7">
        <v>2002</v>
      </c>
    </row>
    <row r="774" spans="1:4" ht="12.75">
      <c r="A774" s="71" t="str">
        <f>HYPERLINK("https://www.youtube.com/watch?v=l8IP3S8dxU8","Feeling Yourself Disintegrate")</f>
        <v>Feeling Yourself Disintegrate</v>
      </c>
      <c r="B774" s="11">
        <v>106</v>
      </c>
      <c r="C774" s="12" t="str">
        <f t="shared" ref="C774:C775" si="49">HYPERLINK("http://en.wikipedia.org/wiki/The_Soft_Bulletin","The Soft Bulletin")</f>
        <v>The Soft Bulletin</v>
      </c>
      <c r="D774" s="10">
        <v>1999</v>
      </c>
    </row>
    <row r="775" spans="1:4" ht="12.75">
      <c r="A775" s="61" t="str">
        <f>HYPERLINK("https://www.youtube.com/watch?v=o0AOG7ciuJo","Waitin' for a Superman")</f>
        <v>Waitin' for a Superman</v>
      </c>
      <c r="B775" s="8">
        <v>101</v>
      </c>
      <c r="C775" s="9" t="str">
        <f t="shared" si="49"/>
        <v>The Soft Bulletin</v>
      </c>
      <c r="D775" s="7">
        <v>1999</v>
      </c>
    </row>
    <row r="776" spans="1:4" ht="12.75">
      <c r="A776" s="46" t="str">
        <f>HYPERLINK("https://www.youtube.com/watch?v=AzlMeTxVdH8","Yoshimi Battles the Pink Robots Pt. 1")</f>
        <v>Yoshimi Battles the Pink Robots Pt. 1</v>
      </c>
      <c r="B776" s="28">
        <v>64</v>
      </c>
      <c r="C776" s="12" t="str">
        <f>HYPERLINK("http://en.wikipedia.org/wiki/Yoshimi_Battles_the_Pink_Robots","Yoshimi Battles the Pink Robots")</f>
        <v>Yoshimi Battles the Pink Robots</v>
      </c>
      <c r="D776" s="27">
        <v>2002</v>
      </c>
    </row>
    <row r="777" spans="1:4" ht="12.75">
      <c r="A777" s="61" t="str">
        <f>HYPERLINK("https://www.youtube.com/watch?v=cvfxKbpoxRE","She Don't Use Jelly")</f>
        <v>She Don't Use Jelly</v>
      </c>
      <c r="B777" s="8">
        <v>61</v>
      </c>
      <c r="C777" s="9" t="str">
        <f>HYPERLINK("http://en.wikipedia.org/wiki/Transmissions_from_the_Satellite_Heart","Transmissions from the Satellite Heart")</f>
        <v>Transmissions from the Satellite Heart</v>
      </c>
      <c r="D777" s="7">
        <v>1993</v>
      </c>
    </row>
    <row r="778" spans="1:4" ht="12.75">
      <c r="A778" s="35" t="s">
        <v>1313</v>
      </c>
      <c r="B778" s="28">
        <v>60</v>
      </c>
      <c r="C778" s="29" t="s">
        <v>1314</v>
      </c>
      <c r="D778" s="27">
        <v>1995</v>
      </c>
    </row>
    <row r="779" spans="1:4" ht="12.75">
      <c r="A779" s="61" t="str">
        <f>HYPERLINK("https://www.youtube.com/watch?v=mVsyJtCsqeA","A Spoonful Weighs a Ton")</f>
        <v>A Spoonful Weighs a Ton</v>
      </c>
      <c r="B779" s="8">
        <v>44</v>
      </c>
      <c r="C779" s="9" t="str">
        <f>HYPERLINK("http://en.wikipedia.org/wiki/The_Soft_Bulletin","The Soft Bulletin")</f>
        <v>The Soft Bulletin</v>
      </c>
      <c r="D779" s="7">
        <v>1999</v>
      </c>
    </row>
    <row r="780" spans="1:4" ht="12.75">
      <c r="A780" s="35" t="s">
        <v>1315</v>
      </c>
      <c r="B780" s="28">
        <v>41</v>
      </c>
      <c r="C780" s="12" t="s">
        <v>1316</v>
      </c>
      <c r="D780" s="27">
        <v>2009</v>
      </c>
    </row>
    <row r="781" spans="1:4" ht="12.75">
      <c r="A781" s="152"/>
      <c r="B781" s="153"/>
      <c r="C781" s="153"/>
      <c r="D781" s="154"/>
    </row>
    <row r="782" spans="1:4" ht="18">
      <c r="A782" s="41" t="s">
        <v>1317</v>
      </c>
      <c r="B782" s="23">
        <v>44931</v>
      </c>
      <c r="C782" s="24"/>
      <c r="D782" s="24"/>
    </row>
    <row r="783" spans="1:4" ht="12.75">
      <c r="A783" s="26" t="s">
        <v>2</v>
      </c>
      <c r="B783" s="26" t="s">
        <v>3</v>
      </c>
      <c r="C783" s="26" t="s">
        <v>4</v>
      </c>
      <c r="D783" s="26" t="s">
        <v>5</v>
      </c>
    </row>
    <row r="784" spans="1:4" ht="12.75">
      <c r="A784" s="7" t="s">
        <v>1318</v>
      </c>
      <c r="B784" s="8">
        <v>423</v>
      </c>
      <c r="C784" s="19" t="s">
        <v>1318</v>
      </c>
      <c r="D784" s="7">
        <v>2011</v>
      </c>
    </row>
    <row r="785" spans="1:4" ht="12.75">
      <c r="A785" s="27" t="s">
        <v>1319</v>
      </c>
      <c r="B785" s="28">
        <v>284</v>
      </c>
      <c r="C785" s="35" t="s">
        <v>1320</v>
      </c>
      <c r="D785" s="27">
        <v>2017</v>
      </c>
    </row>
    <row r="786" spans="1:4" ht="12.75">
      <c r="A786" s="7" t="s">
        <v>1321</v>
      </c>
      <c r="B786" s="8">
        <v>274</v>
      </c>
      <c r="C786" s="19" t="s">
        <v>1322</v>
      </c>
      <c r="D786" s="7">
        <v>2008</v>
      </c>
    </row>
    <row r="787" spans="1:4" ht="12.75">
      <c r="A787" s="27" t="s">
        <v>1323</v>
      </c>
      <c r="B787" s="28">
        <v>246</v>
      </c>
      <c r="C787" s="35" t="s">
        <v>1317</v>
      </c>
      <c r="D787" s="27">
        <v>2008</v>
      </c>
    </row>
    <row r="788" spans="1:4" ht="12.75">
      <c r="A788" s="7" t="s">
        <v>1324</v>
      </c>
      <c r="B788" s="8">
        <v>233</v>
      </c>
      <c r="C788" s="19" t="s">
        <v>1318</v>
      </c>
      <c r="D788" s="7">
        <v>2017</v>
      </c>
    </row>
    <row r="789" spans="1:4" ht="12.75">
      <c r="A789" s="10" t="s">
        <v>1325</v>
      </c>
      <c r="B789" s="11">
        <v>210</v>
      </c>
      <c r="C789" s="20" t="s">
        <v>1318</v>
      </c>
      <c r="D789" s="10">
        <v>2011</v>
      </c>
    </row>
    <row r="790" spans="1:4" ht="12.75">
      <c r="A790" s="7" t="s">
        <v>1326</v>
      </c>
      <c r="B790" s="8">
        <v>201</v>
      </c>
      <c r="C790" s="19" t="s">
        <v>1317</v>
      </c>
      <c r="D790" s="7">
        <v>2008</v>
      </c>
    </row>
    <row r="791" spans="1:4" ht="12.75">
      <c r="A791" s="27" t="s">
        <v>1327</v>
      </c>
      <c r="B791" s="28">
        <v>198</v>
      </c>
      <c r="C791" s="35" t="s">
        <v>1317</v>
      </c>
      <c r="D791" s="27">
        <v>2008</v>
      </c>
    </row>
    <row r="792" spans="1:4" ht="12.75">
      <c r="A792" s="7" t="s">
        <v>1328</v>
      </c>
      <c r="B792" s="8">
        <v>160</v>
      </c>
      <c r="C792" s="19" t="s">
        <v>1318</v>
      </c>
      <c r="D792" s="7">
        <v>2011</v>
      </c>
    </row>
    <row r="793" spans="1:4" ht="12.75">
      <c r="A793" s="27" t="s">
        <v>1329</v>
      </c>
      <c r="B793" s="28">
        <v>137</v>
      </c>
      <c r="C793" s="35" t="s">
        <v>1330</v>
      </c>
      <c r="D793" s="27">
        <v>2020</v>
      </c>
    </row>
    <row r="794" spans="1:4" ht="12.75">
      <c r="A794" s="152"/>
      <c r="B794" s="153"/>
      <c r="C794" s="153"/>
      <c r="D794" s="154"/>
    </row>
    <row r="795" spans="1:4" ht="18">
      <c r="A795" s="22" t="str">
        <f>HYPERLINK("https://www.reddit.com/r/indieheads/comments/bra8x5/top_ten_tuesday_florence_the_machine/","Florence + The Machine")</f>
        <v>Florence + The Machine</v>
      </c>
      <c r="B795" s="30">
        <v>43606</v>
      </c>
      <c r="C795" s="24"/>
      <c r="D795" s="32" t="s">
        <v>1</v>
      </c>
    </row>
    <row r="796" spans="1:4" ht="12.75">
      <c r="A796" s="26" t="s">
        <v>2</v>
      </c>
      <c r="B796" s="26" t="s">
        <v>3</v>
      </c>
      <c r="C796" s="26" t="s">
        <v>4</v>
      </c>
      <c r="D796" s="26" t="s">
        <v>5</v>
      </c>
    </row>
    <row r="797" spans="1:4" ht="12.75">
      <c r="A797" s="7" t="s">
        <v>1331</v>
      </c>
      <c r="B797" s="8">
        <v>209</v>
      </c>
      <c r="C797" s="9" t="str">
        <f>HYPERLINK("https://en.wikipedia.org/wiki/How_Big,_How_Blue,_How_Beautiful","How Big, How Blue, How Beautiful")</f>
        <v>How Big, How Blue, How Beautiful</v>
      </c>
      <c r="D797" s="7">
        <v>2015</v>
      </c>
    </row>
    <row r="798" spans="1:4" ht="12.75">
      <c r="A798" s="27" t="s">
        <v>1332</v>
      </c>
      <c r="B798" s="28">
        <v>199</v>
      </c>
      <c r="C798" s="29" t="str">
        <f>HYPERLINK("https://en.wikipedia.org/wiki/Lungs_(album)","Lungs")</f>
        <v>Lungs</v>
      </c>
      <c r="D798" s="27">
        <v>2009</v>
      </c>
    </row>
    <row r="799" spans="1:4" ht="12.75">
      <c r="A799" s="7" t="s">
        <v>1333</v>
      </c>
      <c r="B799" s="8">
        <v>158</v>
      </c>
      <c r="C799" s="9" t="str">
        <f>HYPERLINK("https://en.wikipedia.org/wiki/How_Big,_How_Blue,_How_Beautiful","How Big, How Blue, How Beautiful")</f>
        <v>How Big, How Blue, How Beautiful</v>
      </c>
      <c r="D799" s="7">
        <v>2015</v>
      </c>
    </row>
    <row r="800" spans="1:4" ht="12.75">
      <c r="A800" s="27" t="s">
        <v>1334</v>
      </c>
      <c r="B800" s="28">
        <v>138</v>
      </c>
      <c r="C800" s="29" t="str">
        <f t="shared" ref="C800:C801" si="50">HYPERLINK("https://en.wikipedia.org/wiki/Ceremonials_(album)","Ceremonials")</f>
        <v>Ceremonials</v>
      </c>
      <c r="D800" s="27">
        <v>2011</v>
      </c>
    </row>
    <row r="801" spans="1:4" ht="12.75">
      <c r="A801" s="7" t="s">
        <v>1335</v>
      </c>
      <c r="B801" s="8">
        <v>137</v>
      </c>
      <c r="C801" s="9" t="str">
        <f t="shared" si="50"/>
        <v>Ceremonials</v>
      </c>
      <c r="D801" s="7">
        <v>2011</v>
      </c>
    </row>
    <row r="802" spans="1:4" ht="12.75">
      <c r="A802" s="27" t="s">
        <v>1336</v>
      </c>
      <c r="B802" s="28">
        <v>128</v>
      </c>
      <c r="C802" s="29" t="str">
        <f>HYPERLINK("https://en.wikipedia.org/wiki/High_as_Hope","High as Hope")</f>
        <v>High as Hope</v>
      </c>
      <c r="D802" s="27">
        <v>2018</v>
      </c>
    </row>
    <row r="803" spans="1:4" ht="12.75">
      <c r="A803" s="7" t="s">
        <v>1337</v>
      </c>
      <c r="B803" s="8">
        <v>111</v>
      </c>
      <c r="C803" s="9" t="str">
        <f>HYPERLINK("https://en.wikipedia.org/wiki/How_Big,_How_Blue,_How_Beautiful","How Big, How Blue, How Beautiful")</f>
        <v>How Big, How Blue, How Beautiful</v>
      </c>
      <c r="D803" s="7">
        <v>2015</v>
      </c>
    </row>
    <row r="804" spans="1:4" ht="12.75">
      <c r="A804" s="27" t="s">
        <v>1338</v>
      </c>
      <c r="B804" s="28">
        <v>109</v>
      </c>
      <c r="C804" s="29" t="str">
        <f>HYPERLINK("https://en.wikipedia.org/wiki/Lungs_(album)","Lungs")</f>
        <v>Lungs</v>
      </c>
      <c r="D804" s="27">
        <v>2008</v>
      </c>
    </row>
    <row r="805" spans="1:4" ht="12.75">
      <c r="A805" s="7" t="s">
        <v>1339</v>
      </c>
      <c r="B805" s="8">
        <v>109</v>
      </c>
      <c r="C805" s="9" t="str">
        <f t="shared" ref="C805:C806" si="51">HYPERLINK("https://en.wikipedia.org/wiki/How_Big,_How_Blue,_How_Beautiful","How Big, How Blue, How Beautiful")</f>
        <v>How Big, How Blue, How Beautiful</v>
      </c>
      <c r="D805" s="7">
        <v>2015</v>
      </c>
    </row>
    <row r="806" spans="1:4" ht="12.75">
      <c r="A806" s="27" t="s">
        <v>1340</v>
      </c>
      <c r="B806" s="28">
        <v>89</v>
      </c>
      <c r="C806" s="29" t="str">
        <f t="shared" si="51"/>
        <v>How Big, How Blue, How Beautiful</v>
      </c>
      <c r="D806" s="27">
        <v>2015</v>
      </c>
    </row>
    <row r="807" spans="1:4" ht="12.75">
      <c r="A807" s="152"/>
      <c r="B807" s="153"/>
      <c r="C807" s="153"/>
      <c r="D807" s="154"/>
    </row>
    <row r="808" spans="1:4" ht="18">
      <c r="A808" s="22" t="str">
        <f>HYPERLINK("https://www.reddit.com/r/indieheads/comments/3l3k1v/top_ten_tuesday_flying_lotus/","Flying Lotus")</f>
        <v>Flying Lotus</v>
      </c>
      <c r="B808" s="23">
        <v>42262</v>
      </c>
      <c r="C808" s="24"/>
      <c r="D808" s="32" t="s">
        <v>1</v>
      </c>
    </row>
    <row r="809" spans="1:4" ht="12.75">
      <c r="A809" s="26" t="s">
        <v>2</v>
      </c>
      <c r="B809" s="26" t="s">
        <v>3</v>
      </c>
      <c r="C809" s="26" t="s">
        <v>4</v>
      </c>
      <c r="D809" s="26" t="s">
        <v>5</v>
      </c>
    </row>
    <row r="810" spans="1:4" ht="12.75">
      <c r="A810" s="7" t="s">
        <v>1341</v>
      </c>
      <c r="B810" s="8">
        <v>230</v>
      </c>
      <c r="C810" s="9" t="str">
        <f>HYPERLINK("https://en.wikipedia.org/wiki/You%27re_Dead!","You're Dead!")</f>
        <v>You're Dead!</v>
      </c>
      <c r="D810" s="7">
        <v>2014</v>
      </c>
    </row>
    <row r="811" spans="1:4" ht="12.75">
      <c r="A811" s="27" t="s">
        <v>1342</v>
      </c>
      <c r="B811" s="28">
        <v>178</v>
      </c>
      <c r="C811" s="29" t="str">
        <f t="shared" ref="C811:C812" si="52">HYPERLINK("https://en.wikipedia.org/wiki/Cosmogramma","Cosmogramma")</f>
        <v>Cosmogramma</v>
      </c>
      <c r="D811" s="27">
        <v>2010</v>
      </c>
    </row>
    <row r="812" spans="1:4" ht="12.75">
      <c r="A812" s="7" t="s">
        <v>1343</v>
      </c>
      <c r="B812" s="8">
        <v>130</v>
      </c>
      <c r="C812" s="9" t="str">
        <f t="shared" si="52"/>
        <v>Cosmogramma</v>
      </c>
      <c r="D812" s="7">
        <v>2010</v>
      </c>
    </row>
    <row r="813" spans="1:4" ht="12.75">
      <c r="A813" s="27" t="s">
        <v>1344</v>
      </c>
      <c r="B813" s="28">
        <v>129</v>
      </c>
      <c r="C813" s="29" t="str">
        <f>HYPERLINK("https://en.wikipedia.org/wiki/You%27re_Dead!","You're Dead!")</f>
        <v>You're Dead!</v>
      </c>
      <c r="D813" s="27">
        <v>2014</v>
      </c>
    </row>
    <row r="814" spans="1:4" ht="12.75">
      <c r="A814" s="7" t="s">
        <v>1345</v>
      </c>
      <c r="B814" s="8">
        <v>72</v>
      </c>
      <c r="C814" s="9" t="str">
        <f>HYPERLINK("https://en.wikipedia.org/wiki/Cosmogramma","Cosmogramma")</f>
        <v>Cosmogramma</v>
      </c>
      <c r="D814" s="7">
        <v>2010</v>
      </c>
    </row>
    <row r="815" spans="1:4" ht="12.75">
      <c r="A815" s="27" t="s">
        <v>1346</v>
      </c>
      <c r="B815" s="28">
        <v>66</v>
      </c>
      <c r="C815" s="29" t="str">
        <f>HYPERLINK("https://en.wikipedia.org/wiki/Los_Angeles_(Flying_Lotus_album)","Los Angeles")</f>
        <v>Los Angeles</v>
      </c>
      <c r="D815" s="27">
        <v>2008</v>
      </c>
    </row>
    <row r="816" spans="1:4" ht="12.75">
      <c r="A816" s="7" t="s">
        <v>1347</v>
      </c>
      <c r="B816" s="8">
        <v>59</v>
      </c>
      <c r="C816" s="9" t="str">
        <f>HYPERLINK("https://en.wikipedia.org/wiki/Reset_(Flying_Lotus_EP)","Reset")</f>
        <v>Reset</v>
      </c>
      <c r="D816" s="7">
        <v>2007</v>
      </c>
    </row>
    <row r="817" spans="1:4" ht="12.75">
      <c r="A817" s="27" t="s">
        <v>1348</v>
      </c>
      <c r="B817" s="28">
        <v>57</v>
      </c>
      <c r="C817" s="29" t="str">
        <f>HYPERLINK("https://en.wikipedia.org/wiki/Los_Angeles_(Flying_Lotus_album)","Los Angeles")</f>
        <v>Los Angeles</v>
      </c>
      <c r="D817" s="27">
        <v>2008</v>
      </c>
    </row>
    <row r="818" spans="1:4" ht="12.75">
      <c r="A818" s="7" t="s">
        <v>1349</v>
      </c>
      <c r="B818" s="8">
        <v>56</v>
      </c>
      <c r="C818" s="9" t="str">
        <f t="shared" ref="C818:C819" si="53">HYPERLINK("https://en.wikipedia.org/wiki/Cosmogramma","Cosmogramma")</f>
        <v>Cosmogramma</v>
      </c>
      <c r="D818" s="7">
        <v>2010</v>
      </c>
    </row>
    <row r="819" spans="1:4" ht="12.75">
      <c r="A819" s="27" t="s">
        <v>1350</v>
      </c>
      <c r="B819" s="28">
        <v>52</v>
      </c>
      <c r="C819" s="29" t="str">
        <f t="shared" si="53"/>
        <v>Cosmogramma</v>
      </c>
      <c r="D819" s="27">
        <v>2010</v>
      </c>
    </row>
    <row r="820" spans="1:4" ht="12.75">
      <c r="A820" s="152"/>
      <c r="B820" s="153"/>
      <c r="C820" s="153"/>
      <c r="D820" s="154"/>
    </row>
    <row r="821" spans="1:4" ht="18">
      <c r="A821" s="22" t="str">
        <f>HYPERLINK("https://www.reddit.com/r/indieheads/comments/53qc24/top_ten_tuesday_foals/","Foals")</f>
        <v>Foals</v>
      </c>
      <c r="B821" s="43">
        <v>42633</v>
      </c>
      <c r="C821" s="24"/>
      <c r="D821" s="24"/>
    </row>
    <row r="822" spans="1:4" ht="12.75">
      <c r="A822" s="26" t="s">
        <v>2</v>
      </c>
      <c r="B822" s="26" t="s">
        <v>3</v>
      </c>
      <c r="C822" s="26" t="s">
        <v>4</v>
      </c>
      <c r="D822" s="26" t="s">
        <v>5</v>
      </c>
    </row>
    <row r="823" spans="1:4" ht="12.75">
      <c r="A823" s="7" t="s">
        <v>1351</v>
      </c>
      <c r="B823" s="8">
        <v>234</v>
      </c>
      <c r="C823" s="9" t="str">
        <f>HYPERLINK("https://en.wikipedia.org/wiki/Total_Life_Forever","Total Life Forever")</f>
        <v>Total Life Forever</v>
      </c>
      <c r="D823" s="7">
        <v>2010</v>
      </c>
    </row>
    <row r="824" spans="1:4" ht="12.75">
      <c r="A824" s="27" t="s">
        <v>1352</v>
      </c>
      <c r="B824" s="28">
        <v>152</v>
      </c>
      <c r="C824" s="29" t="str">
        <f>HYPERLINK("https://en.wikipedia.org/wiki/Holy_Fire_(album)","Holy Fire")</f>
        <v>Holy Fire</v>
      </c>
      <c r="D824" s="27">
        <v>2012</v>
      </c>
    </row>
    <row r="825" spans="1:4" ht="12.75">
      <c r="A825" s="7" t="s">
        <v>1353</v>
      </c>
      <c r="B825" s="8">
        <v>136</v>
      </c>
      <c r="C825" s="9" t="str">
        <f>HYPERLINK("https://en.wikipedia.org/wiki/Antidotes_(album)","Antidote")</f>
        <v>Antidote</v>
      </c>
      <c r="D825" s="7">
        <v>2008</v>
      </c>
    </row>
    <row r="826" spans="1:4" ht="12.75">
      <c r="A826" s="27" t="s">
        <v>1354</v>
      </c>
      <c r="B826" s="28">
        <v>122</v>
      </c>
      <c r="C826" s="29" t="str">
        <f>HYPERLINK("https://en.wikipedia.org/wiki/Total_Life_Forever","Total Life Forever")</f>
        <v>Total Life Forever</v>
      </c>
      <c r="D826" s="27">
        <v>2010</v>
      </c>
    </row>
    <row r="827" spans="1:4" ht="12.75">
      <c r="A827" s="7" t="s">
        <v>1355</v>
      </c>
      <c r="B827" s="8">
        <v>108</v>
      </c>
      <c r="C827" s="9" t="str">
        <f>HYPERLINK("https://en.wikipedia.org/wiki/Antidotes_(album)","Antidote")</f>
        <v>Antidote</v>
      </c>
      <c r="D827" s="7">
        <v>2008</v>
      </c>
    </row>
    <row r="828" spans="1:4" ht="12.75">
      <c r="A828" s="27" t="s">
        <v>1356</v>
      </c>
      <c r="B828" s="28">
        <v>101</v>
      </c>
      <c r="C828" s="29" t="str">
        <f>HYPERLINK("https://en.wikipedia.org/wiki/Holy_Fire_(album)","Holy Fire")</f>
        <v>Holy Fire</v>
      </c>
      <c r="D828" s="27">
        <v>2012</v>
      </c>
    </row>
    <row r="829" spans="1:4" ht="12.75">
      <c r="A829" s="7" t="s">
        <v>1357</v>
      </c>
      <c r="B829" s="8">
        <v>91</v>
      </c>
      <c r="C829" s="9" t="str">
        <f>HYPERLINK("https://en.wikipedia.org/wiki/Antidotes_(album)","Antidote")</f>
        <v>Antidote</v>
      </c>
      <c r="D829" s="7">
        <v>2008</v>
      </c>
    </row>
    <row r="830" spans="1:4" ht="12.75">
      <c r="A830" s="27" t="s">
        <v>1358</v>
      </c>
      <c r="B830" s="28">
        <v>82</v>
      </c>
      <c r="C830" s="29" t="str">
        <f>HYPERLINK("https://en.wikipedia.org/wiki/Total_Life_Forever","Total Life Forever")</f>
        <v>Total Life Forever</v>
      </c>
      <c r="D830" s="27">
        <v>2010</v>
      </c>
    </row>
    <row r="831" spans="1:4" ht="12.75">
      <c r="A831" s="7" t="s">
        <v>1359</v>
      </c>
      <c r="B831" s="8">
        <v>76</v>
      </c>
      <c r="C831" s="9" t="str">
        <f>HYPERLINK("https://en.wikipedia.org/wiki/Antidotes_(album)","Antidote")</f>
        <v>Antidote</v>
      </c>
      <c r="D831" s="7">
        <v>2008</v>
      </c>
    </row>
    <row r="832" spans="1:4" ht="12.75">
      <c r="A832" s="27" t="s">
        <v>1360</v>
      </c>
      <c r="B832" s="28">
        <v>76</v>
      </c>
      <c r="C832" s="29" t="str">
        <f>HYPERLINK("https://en.wikipedia.org/wiki/Total_Life_Forever","Total Life Forever")</f>
        <v>Total Life Forever</v>
      </c>
      <c r="D832" s="27">
        <v>2010</v>
      </c>
    </row>
    <row r="833" spans="1:4" ht="12.75">
      <c r="A833" s="152"/>
      <c r="B833" s="153"/>
      <c r="C833" s="153"/>
      <c r="D833" s="154"/>
    </row>
    <row r="834" spans="1:4" ht="18">
      <c r="A834" s="72" t="s">
        <v>1361</v>
      </c>
      <c r="B834" s="73">
        <v>44821</v>
      </c>
      <c r="C834" s="74"/>
      <c r="D834" s="75"/>
    </row>
    <row r="835" spans="1:4" ht="12.75">
      <c r="A835" s="76" t="s">
        <v>2</v>
      </c>
      <c r="B835" s="77" t="s">
        <v>3</v>
      </c>
      <c r="C835" s="76" t="s">
        <v>4</v>
      </c>
      <c r="D835" s="78" t="s">
        <v>5</v>
      </c>
    </row>
    <row r="836" spans="1:4" ht="12.75">
      <c r="A836" s="79" t="s">
        <v>1362</v>
      </c>
      <c r="B836" s="8">
        <v>230</v>
      </c>
      <c r="C836" s="7" t="s">
        <v>1363</v>
      </c>
      <c r="D836" s="19">
        <v>2011</v>
      </c>
    </row>
    <row r="837" spans="1:4" ht="12.75">
      <c r="A837" s="80" t="s">
        <v>1364</v>
      </c>
      <c r="B837" s="28">
        <v>178</v>
      </c>
      <c r="C837" s="27" t="s">
        <v>1363</v>
      </c>
      <c r="D837" s="35">
        <v>2011</v>
      </c>
    </row>
    <row r="838" spans="1:4" ht="12.75">
      <c r="A838" s="81" t="s">
        <v>1365</v>
      </c>
      <c r="B838" s="8">
        <v>127</v>
      </c>
      <c r="C838" s="7" t="s">
        <v>1366</v>
      </c>
      <c r="D838" s="19">
        <v>2014</v>
      </c>
    </row>
    <row r="839" spans="1:4" ht="12.75">
      <c r="A839" s="80" t="s">
        <v>1367</v>
      </c>
      <c r="B839" s="28">
        <v>116</v>
      </c>
      <c r="C839" s="27" t="s">
        <v>1366</v>
      </c>
      <c r="D839" s="35">
        <v>2014</v>
      </c>
    </row>
    <row r="840" spans="1:4" ht="12.75">
      <c r="A840" s="79" t="s">
        <v>1368</v>
      </c>
      <c r="B840" s="8">
        <v>98</v>
      </c>
      <c r="C840" s="7" t="s">
        <v>1363</v>
      </c>
      <c r="D840" s="19">
        <v>2011</v>
      </c>
    </row>
    <row r="841" spans="1:4" ht="12.75">
      <c r="A841" s="80" t="s">
        <v>1369</v>
      </c>
      <c r="B841" s="28">
        <v>92</v>
      </c>
      <c r="C841" s="27" t="s">
        <v>1363</v>
      </c>
      <c r="D841" s="35">
        <v>2011</v>
      </c>
    </row>
    <row r="842" spans="1:4" ht="12.75">
      <c r="A842" s="79" t="s">
        <v>1370</v>
      </c>
      <c r="B842" s="8">
        <v>86</v>
      </c>
      <c r="C842" s="7" t="s">
        <v>1371</v>
      </c>
      <c r="D842" s="19">
        <v>2017</v>
      </c>
    </row>
    <row r="843" spans="1:4" ht="12.75">
      <c r="A843" s="80" t="s">
        <v>1372</v>
      </c>
      <c r="B843" s="28">
        <v>82</v>
      </c>
      <c r="C843" s="27" t="s">
        <v>1373</v>
      </c>
      <c r="D843" s="35">
        <v>2020</v>
      </c>
    </row>
    <row r="844" spans="1:4" ht="12.75">
      <c r="A844" s="79" t="s">
        <v>1374</v>
      </c>
      <c r="B844" s="8">
        <v>81</v>
      </c>
      <c r="C844" s="7" t="s">
        <v>1371</v>
      </c>
      <c r="D844" s="19">
        <v>2017</v>
      </c>
    </row>
    <row r="845" spans="1:4" ht="12.75">
      <c r="A845" s="80" t="s">
        <v>1375</v>
      </c>
      <c r="B845" s="28">
        <v>79</v>
      </c>
      <c r="C845" s="27" t="s">
        <v>1366</v>
      </c>
      <c r="D845" s="35">
        <v>2014</v>
      </c>
    </row>
    <row r="846" spans="1:4" ht="18">
      <c r="A846" s="159"/>
      <c r="B846" s="153"/>
      <c r="C846" s="153"/>
      <c r="D846" s="154"/>
    </row>
    <row r="847" spans="1:4" ht="18">
      <c r="A847" s="22" t="str">
        <f>HYPERLINK("https://www.reddit.com/r/indieheads/comments/fwiuwp/top_ten_tuesday_oh_sees/","Fountains of Wayne")</f>
        <v>Fountains of Wayne</v>
      </c>
      <c r="B847" s="30">
        <v>43928</v>
      </c>
      <c r="C847" s="24"/>
      <c r="D847" s="32" t="s">
        <v>1</v>
      </c>
    </row>
    <row r="848" spans="1:4" ht="12.75">
      <c r="A848" s="26" t="s">
        <v>2</v>
      </c>
      <c r="B848" s="26" t="s">
        <v>3</v>
      </c>
      <c r="C848" s="26" t="s">
        <v>4</v>
      </c>
      <c r="D848" s="26" t="s">
        <v>5</v>
      </c>
    </row>
    <row r="849" spans="1:4" ht="12.75">
      <c r="A849" s="7" t="s">
        <v>1376</v>
      </c>
      <c r="B849" s="8">
        <v>104</v>
      </c>
      <c r="C849" s="9" t="str">
        <f>HYPERLINK("https://en.wikipedia.org/wiki/Welcome_Interstate_Managers","Welcome Interstate Managers")</f>
        <v>Welcome Interstate Managers</v>
      </c>
      <c r="D849" s="7">
        <v>2003</v>
      </c>
    </row>
    <row r="850" spans="1:4" ht="12.75">
      <c r="A850" s="27" t="s">
        <v>1377</v>
      </c>
      <c r="B850" s="28">
        <v>94</v>
      </c>
      <c r="C850" s="29" t="str">
        <f>HYPERLINK("https://en.wikipedia.org/wiki/Fountains_of_Wayne_(album)","Fountains of Wayne")</f>
        <v>Fountains of Wayne</v>
      </c>
      <c r="D850" s="27">
        <v>1996</v>
      </c>
    </row>
    <row r="851" spans="1:4" ht="12.75">
      <c r="A851" s="7" t="s">
        <v>1378</v>
      </c>
      <c r="B851" s="8">
        <v>69</v>
      </c>
      <c r="C851" s="9" t="str">
        <f t="shared" ref="C851:C853" si="54">HYPERLINK("https://en.wikipedia.org/wiki/Welcome_Interstate_Managers","Welcome Interstate Managers")</f>
        <v>Welcome Interstate Managers</v>
      </c>
      <c r="D851" s="7">
        <v>2003</v>
      </c>
    </row>
    <row r="852" spans="1:4" ht="12.75">
      <c r="A852" s="27" t="s">
        <v>1379</v>
      </c>
      <c r="B852" s="28">
        <v>63</v>
      </c>
      <c r="C852" s="29" t="str">
        <f t="shared" si="54"/>
        <v>Welcome Interstate Managers</v>
      </c>
      <c r="D852" s="27">
        <v>2003</v>
      </c>
    </row>
    <row r="853" spans="1:4" ht="12.75">
      <c r="A853" s="7" t="s">
        <v>1380</v>
      </c>
      <c r="B853" s="8">
        <v>61</v>
      </c>
      <c r="C853" s="9" t="str">
        <f t="shared" si="54"/>
        <v>Welcome Interstate Managers</v>
      </c>
      <c r="D853" s="7">
        <v>2003</v>
      </c>
    </row>
    <row r="854" spans="1:4" ht="12.75">
      <c r="A854" s="27" t="s">
        <v>1381</v>
      </c>
      <c r="B854" s="28">
        <v>53</v>
      </c>
      <c r="C854" s="29" t="str">
        <f>HYPERLINK("https://en.wikipedia.org/wiki/Utopia_Parkway","Utopia Parkway")</f>
        <v>Utopia Parkway</v>
      </c>
      <c r="D854" s="27">
        <v>1999</v>
      </c>
    </row>
    <row r="855" spans="1:4" ht="12.75">
      <c r="A855" s="7" t="s">
        <v>1382</v>
      </c>
      <c r="B855" s="8">
        <v>46</v>
      </c>
      <c r="C855" s="9" t="str">
        <f t="shared" ref="C855:C856" si="55">HYPERLINK("https://en.wikipedia.org/wiki/Sky_Full_of_Holes","Sky Full of Holes")</f>
        <v>Sky Full of Holes</v>
      </c>
      <c r="D855" s="7">
        <v>2011</v>
      </c>
    </row>
    <row r="856" spans="1:4" ht="12.75">
      <c r="A856" s="27" t="s">
        <v>1383</v>
      </c>
      <c r="B856" s="28">
        <v>42</v>
      </c>
      <c r="C856" s="29" t="str">
        <f t="shared" si="55"/>
        <v>Sky Full of Holes</v>
      </c>
      <c r="D856" s="27">
        <v>2011</v>
      </c>
    </row>
    <row r="857" spans="1:4" ht="12.75">
      <c r="A857" s="7" t="s">
        <v>1384</v>
      </c>
      <c r="B857" s="8">
        <v>40</v>
      </c>
      <c r="C857" s="9" t="str">
        <f>HYPERLINK("https://en.wikipedia.org/wiki/Fountains_of_Wayne_(album)","Fountains of Wayne")</f>
        <v>Fountains of Wayne</v>
      </c>
      <c r="D857" s="7">
        <v>1996</v>
      </c>
    </row>
    <row r="858" spans="1:4" ht="12.75">
      <c r="A858" s="27" t="s">
        <v>1385</v>
      </c>
      <c r="B858" s="28">
        <v>39</v>
      </c>
      <c r="C858" s="29" t="str">
        <f>HYPERLINK("https://en.wikipedia.org/wiki/Welcome_Interstate_Managers","Welcome Interstate Managers")</f>
        <v>Welcome Interstate Managers</v>
      </c>
      <c r="D858" s="27">
        <v>2003</v>
      </c>
    </row>
    <row r="859" spans="1:4" ht="12.75">
      <c r="A859" s="152"/>
      <c r="B859" s="153"/>
      <c r="C859" s="153"/>
      <c r="D859" s="154"/>
    </row>
    <row r="860" spans="1:4" ht="18">
      <c r="A860" s="22" t="s">
        <v>1386</v>
      </c>
      <c r="B860" s="30">
        <v>44355</v>
      </c>
      <c r="C860" s="24"/>
      <c r="D860" s="32" t="s">
        <v>1</v>
      </c>
    </row>
    <row r="861" spans="1:4" ht="12.75">
      <c r="A861" s="26" t="s">
        <v>2</v>
      </c>
      <c r="B861" s="26" t="s">
        <v>3</v>
      </c>
      <c r="C861" s="26" t="s">
        <v>4</v>
      </c>
      <c r="D861" s="26" t="s">
        <v>5</v>
      </c>
    </row>
    <row r="862" spans="1:4" ht="12.75">
      <c r="A862" s="7" t="s">
        <v>1387</v>
      </c>
      <c r="B862" s="8">
        <v>79</v>
      </c>
      <c r="C862" s="9" t="s">
        <v>1388</v>
      </c>
      <c r="D862" s="7">
        <v>2009</v>
      </c>
    </row>
    <row r="863" spans="1:4" ht="12.75">
      <c r="A863" s="27" t="s">
        <v>1389</v>
      </c>
      <c r="B863" s="28">
        <v>76</v>
      </c>
      <c r="C863" s="29" t="s">
        <v>1388</v>
      </c>
      <c r="D863" s="27">
        <v>2010</v>
      </c>
    </row>
    <row r="864" spans="1:4" ht="12.75">
      <c r="A864" s="7" t="s">
        <v>1390</v>
      </c>
      <c r="B864" s="8">
        <v>73</v>
      </c>
      <c r="C864" s="9" t="s">
        <v>1391</v>
      </c>
      <c r="D864" s="7">
        <v>2017</v>
      </c>
    </row>
    <row r="865" spans="1:4" ht="12.75">
      <c r="A865" s="27" t="s">
        <v>1392</v>
      </c>
      <c r="B865" s="28">
        <v>67</v>
      </c>
      <c r="C865" s="29" t="s">
        <v>1388</v>
      </c>
      <c r="D865" s="27">
        <v>2010</v>
      </c>
    </row>
    <row r="866" spans="1:4" ht="12.75">
      <c r="A866" s="7" t="s">
        <v>1393</v>
      </c>
      <c r="B866" s="8">
        <v>65</v>
      </c>
      <c r="C866" s="9" t="s">
        <v>1394</v>
      </c>
      <c r="D866" s="7">
        <v>2012</v>
      </c>
    </row>
    <row r="867" spans="1:4" ht="12.75">
      <c r="A867" s="27" t="s">
        <v>1395</v>
      </c>
      <c r="B867" s="28">
        <v>63</v>
      </c>
      <c r="C867" s="29" t="s">
        <v>1396</v>
      </c>
      <c r="D867" s="27">
        <v>2019</v>
      </c>
    </row>
    <row r="868" spans="1:4" ht="12.75">
      <c r="A868" s="7" t="s">
        <v>1397</v>
      </c>
      <c r="B868" s="8">
        <v>58</v>
      </c>
      <c r="C868" s="9" t="s">
        <v>1388</v>
      </c>
      <c r="D868" s="7">
        <v>2010</v>
      </c>
    </row>
    <row r="869" spans="1:4" ht="12.75">
      <c r="A869" s="27" t="s">
        <v>1398</v>
      </c>
      <c r="B869" s="28">
        <v>52</v>
      </c>
      <c r="C869" s="29" t="s">
        <v>1399</v>
      </c>
      <c r="D869" s="27">
        <v>2003</v>
      </c>
    </row>
    <row r="870" spans="1:4" ht="12.75">
      <c r="A870" s="7" t="s">
        <v>1400</v>
      </c>
      <c r="B870" s="8">
        <v>51</v>
      </c>
      <c r="C870" s="9" t="s">
        <v>1399</v>
      </c>
      <c r="D870" s="7">
        <v>2003</v>
      </c>
    </row>
    <row r="871" spans="1:4" ht="12.75">
      <c r="A871" s="27" t="s">
        <v>1401</v>
      </c>
      <c r="B871" s="28">
        <v>51</v>
      </c>
      <c r="C871" s="29" t="s">
        <v>1396</v>
      </c>
      <c r="D871" s="27">
        <v>2020</v>
      </c>
    </row>
    <row r="872" spans="1:4" ht="12.75">
      <c r="A872" s="152"/>
      <c r="B872" s="153"/>
      <c r="C872" s="153"/>
      <c r="D872" s="154"/>
    </row>
    <row r="873" spans="1:4" ht="18">
      <c r="A873" s="22" t="s">
        <v>1402</v>
      </c>
      <c r="B873" s="43">
        <v>44187</v>
      </c>
      <c r="C873" s="24"/>
      <c r="D873" s="32" t="s">
        <v>1</v>
      </c>
    </row>
    <row r="874" spans="1:4" ht="12.75">
      <c r="A874" s="26" t="s">
        <v>2</v>
      </c>
      <c r="B874" s="26" t="s">
        <v>3</v>
      </c>
      <c r="C874" s="26" t="s">
        <v>4</v>
      </c>
      <c r="D874" s="26" t="s">
        <v>5</v>
      </c>
    </row>
    <row r="875" spans="1:4" ht="12.75">
      <c r="A875" s="7" t="s">
        <v>1403</v>
      </c>
      <c r="B875" s="8">
        <v>118</v>
      </c>
      <c r="C875" s="9" t="s">
        <v>1404</v>
      </c>
      <c r="D875" s="7">
        <v>2018</v>
      </c>
    </row>
    <row r="876" spans="1:4" ht="12.75">
      <c r="A876" s="27" t="s">
        <v>1404</v>
      </c>
      <c r="B876" s="28">
        <v>95</v>
      </c>
      <c r="C876" s="29" t="s">
        <v>1404</v>
      </c>
      <c r="D876" s="27">
        <v>2018</v>
      </c>
    </row>
    <row r="877" spans="1:4" ht="12.75">
      <c r="A877" s="7" t="s">
        <v>1405</v>
      </c>
      <c r="B877" s="8">
        <v>87</v>
      </c>
      <c r="C877" s="9" t="s">
        <v>1406</v>
      </c>
      <c r="D877" s="7">
        <v>2013</v>
      </c>
    </row>
    <row r="878" spans="1:4" ht="12.75">
      <c r="A878" s="27" t="s">
        <v>1407</v>
      </c>
      <c r="B878" s="28">
        <v>85</v>
      </c>
      <c r="C878" s="29" t="s">
        <v>1406</v>
      </c>
      <c r="D878" s="27">
        <v>2013</v>
      </c>
    </row>
    <row r="879" spans="1:4" ht="12.75">
      <c r="A879" s="7" t="s">
        <v>1408</v>
      </c>
      <c r="B879" s="8">
        <v>79</v>
      </c>
      <c r="C879" s="9" t="s">
        <v>1404</v>
      </c>
      <c r="D879" s="7">
        <v>2018</v>
      </c>
    </row>
    <row r="880" spans="1:4" ht="12.75">
      <c r="A880" s="27" t="s">
        <v>1409</v>
      </c>
      <c r="B880" s="28">
        <v>71</v>
      </c>
      <c r="C880" s="29" t="s">
        <v>1410</v>
      </c>
      <c r="D880" s="27">
        <v>2015</v>
      </c>
    </row>
    <row r="881" spans="1:4" ht="12.75">
      <c r="A881" s="7" t="s">
        <v>1411</v>
      </c>
      <c r="B881" s="8">
        <v>54</v>
      </c>
      <c r="C881" s="9" t="s">
        <v>1404</v>
      </c>
      <c r="D881" s="7">
        <v>2018</v>
      </c>
    </row>
    <row r="882" spans="1:4" ht="12.75">
      <c r="A882" s="27" t="s">
        <v>1412</v>
      </c>
      <c r="B882" s="28">
        <v>50</v>
      </c>
      <c r="C882" s="29" t="s">
        <v>1410</v>
      </c>
      <c r="D882" s="27">
        <v>2015</v>
      </c>
    </row>
    <row r="883" spans="1:4" ht="12.75">
      <c r="A883" s="7" t="s">
        <v>1413</v>
      </c>
      <c r="B883" s="8">
        <v>49</v>
      </c>
      <c r="C883" s="9" t="s">
        <v>1406</v>
      </c>
      <c r="D883" s="7">
        <v>2013</v>
      </c>
    </row>
    <row r="884" spans="1:4" ht="12.75">
      <c r="A884" s="27" t="s">
        <v>1414</v>
      </c>
      <c r="B884" s="28">
        <v>45</v>
      </c>
      <c r="C884" s="29" t="s">
        <v>1410</v>
      </c>
      <c r="D884" s="27">
        <v>2015</v>
      </c>
    </row>
    <row r="885" spans="1:4" ht="12.75">
      <c r="A885" s="152"/>
      <c r="B885" s="153"/>
      <c r="C885" s="153"/>
      <c r="D885" s="154"/>
    </row>
    <row r="886" spans="1:4" ht="18">
      <c r="A886" s="22" t="str">
        <f>HYPERLINK("https://www.reddit.com/r/indieheads/comments/di69vf/top_ten_tuesday_foxygen/","Foxygen")</f>
        <v>Foxygen</v>
      </c>
      <c r="B886" s="43">
        <v>43753</v>
      </c>
      <c r="C886" s="24"/>
      <c r="D886" s="32" t="s">
        <v>1</v>
      </c>
    </row>
    <row r="887" spans="1:4" ht="12.75">
      <c r="A887" s="26" t="s">
        <v>2</v>
      </c>
      <c r="B887" s="26" t="s">
        <v>3</v>
      </c>
      <c r="C887" s="26" t="s">
        <v>4</v>
      </c>
      <c r="D887" s="26" t="s">
        <v>5</v>
      </c>
    </row>
    <row r="888" spans="1:4" ht="12.75">
      <c r="A888" s="7" t="s">
        <v>1415</v>
      </c>
      <c r="B888" s="8">
        <v>151</v>
      </c>
      <c r="C888" s="9" t="str">
        <f t="shared" ref="C888:C890" si="56">HYPERLINK("https://en.wikipedia.org/wiki/We_Are_the_21st_Century_Ambassadors_of_Peace_%26_Magic","We Are the 21st Century Ambassadors of Peace &amp; Magic")</f>
        <v>We Are the 21st Century Ambassadors of Peace &amp; Magic</v>
      </c>
      <c r="D888" s="7">
        <v>2012</v>
      </c>
    </row>
    <row r="889" spans="1:4" ht="12.75">
      <c r="A889" s="27" t="s">
        <v>1416</v>
      </c>
      <c r="B889" s="28">
        <v>128</v>
      </c>
      <c r="C889" s="29" t="str">
        <f t="shared" si="56"/>
        <v>We Are the 21st Century Ambassadors of Peace &amp; Magic</v>
      </c>
      <c r="D889" s="27">
        <v>2013</v>
      </c>
    </row>
    <row r="890" spans="1:4" ht="12.75">
      <c r="A890" s="7" t="s">
        <v>1417</v>
      </c>
      <c r="B890" s="8">
        <v>124</v>
      </c>
      <c r="C890" s="9" t="str">
        <f t="shared" si="56"/>
        <v>We Are the 21st Century Ambassadors of Peace &amp; Magic</v>
      </c>
      <c r="D890" s="7">
        <v>2013</v>
      </c>
    </row>
    <row r="891" spans="1:4" ht="12.75">
      <c r="A891" s="27" t="s">
        <v>1418</v>
      </c>
      <c r="B891" s="28">
        <v>119</v>
      </c>
      <c r="C891" s="29" t="str">
        <f>HYPERLINK("https://en.wikipedia.org/wiki/...And_Star_Power","...And Star Power")</f>
        <v>...And Star Power</v>
      </c>
      <c r="D891" s="27">
        <v>2014</v>
      </c>
    </row>
    <row r="892" spans="1:4" ht="12.75">
      <c r="A892" s="7" t="s">
        <v>1419</v>
      </c>
      <c r="B892" s="8">
        <v>105</v>
      </c>
      <c r="C892" s="9" t="str">
        <f>HYPERLINK("https://en.wikipedia.org/wiki/We_Are_the_21st_Century_Ambassadors_of_Peace_%26_Magic","We Are the 21st Century Ambassadors of Peace &amp; Magic")</f>
        <v>We Are the 21st Century Ambassadors of Peace &amp; Magic</v>
      </c>
      <c r="D892" s="7">
        <v>2013</v>
      </c>
    </row>
    <row r="893" spans="1:4" ht="12.75">
      <c r="A893" s="27" t="s">
        <v>1420</v>
      </c>
      <c r="B893" s="28">
        <v>98</v>
      </c>
      <c r="C893" s="29" t="str">
        <f>HYPERLINK("https://en.wikipedia.org/wiki/Take_the_Kids_Off_Broadway","Take the Kids Off Broadway")</f>
        <v>Take the Kids Off Broadway</v>
      </c>
      <c r="D893" s="27">
        <v>2011</v>
      </c>
    </row>
    <row r="894" spans="1:4" ht="12.75">
      <c r="A894" s="7" t="s">
        <v>1421</v>
      </c>
      <c r="B894" s="8">
        <v>67</v>
      </c>
      <c r="C894" s="9" t="str">
        <f>HYPERLINK("https://en.wikipedia.org/wiki/Hang_(Foxygen_album)","Hang")</f>
        <v>Hang</v>
      </c>
      <c r="D894" s="7">
        <v>2017</v>
      </c>
    </row>
    <row r="895" spans="1:4" ht="12.75">
      <c r="A895" s="27" t="s">
        <v>1422</v>
      </c>
      <c r="B895" s="28">
        <v>60</v>
      </c>
      <c r="C895" s="29" t="str">
        <f>HYPERLINK("https://en.wikipedia.org/wiki/...And_Star_Power","...And Star Power")</f>
        <v>...And Star Power</v>
      </c>
      <c r="D895" s="27">
        <v>2014</v>
      </c>
    </row>
    <row r="896" spans="1:4" ht="12.75">
      <c r="A896" s="7" t="s">
        <v>1423</v>
      </c>
      <c r="B896" s="8">
        <v>52</v>
      </c>
      <c r="C896" s="9" t="str">
        <f>HYPERLINK("https://en.wikipedia.org/wiki/We_Are_the_21st_Century_Ambassadors_of_Peace_%26_Magic","We Are the 21st Century Ambassadors of Peace &amp; Magic")</f>
        <v>We Are the 21st Century Ambassadors of Peace &amp; Magic</v>
      </c>
      <c r="D896" s="7">
        <v>2013</v>
      </c>
    </row>
    <row r="897" spans="1:4" ht="12.75">
      <c r="A897" s="27" t="s">
        <v>1424</v>
      </c>
      <c r="B897" s="28">
        <v>46</v>
      </c>
      <c r="C897" s="29" t="str">
        <f>HYPERLINK("https://en.wikipedia.org/wiki/Hang_(Foxygen_album)","Hang")</f>
        <v>Hang</v>
      </c>
      <c r="D897" s="27">
        <v>2017</v>
      </c>
    </row>
    <row r="898" spans="1:4" ht="12.75">
      <c r="A898" s="152"/>
      <c r="B898" s="153"/>
      <c r="C898" s="153"/>
      <c r="D898" s="154"/>
    </row>
    <row r="899" spans="1:4" ht="18">
      <c r="A899" s="22" t="s">
        <v>1425</v>
      </c>
      <c r="B899" s="43">
        <v>44145</v>
      </c>
      <c r="C899" s="24"/>
      <c r="D899" s="32" t="s">
        <v>1</v>
      </c>
    </row>
    <row r="900" spans="1:4" ht="12.75">
      <c r="A900" s="26" t="s">
        <v>2</v>
      </c>
      <c r="B900" s="26" t="s">
        <v>3</v>
      </c>
      <c r="C900" s="26" t="s">
        <v>4</v>
      </c>
      <c r="D900" s="26" t="s">
        <v>5</v>
      </c>
    </row>
    <row r="901" spans="1:4" ht="12.75">
      <c r="A901" s="7" t="s">
        <v>1426</v>
      </c>
      <c r="B901" s="8">
        <v>800</v>
      </c>
      <c r="C901" s="9" t="s">
        <v>1427</v>
      </c>
      <c r="D901" s="7">
        <v>2016</v>
      </c>
    </row>
    <row r="902" spans="1:4" ht="12.75">
      <c r="A902" s="27" t="s">
        <v>1428</v>
      </c>
      <c r="B902" s="28">
        <v>729</v>
      </c>
      <c r="C902" s="29" t="s">
        <v>1427</v>
      </c>
      <c r="D902" s="27">
        <v>2016</v>
      </c>
    </row>
    <row r="903" spans="1:4" ht="12.75">
      <c r="A903" s="7" t="s">
        <v>1429</v>
      </c>
      <c r="B903" s="8">
        <v>709</v>
      </c>
      <c r="C903" s="9" t="s">
        <v>1430</v>
      </c>
      <c r="D903" s="7">
        <v>2012</v>
      </c>
    </row>
    <row r="904" spans="1:4" ht="12.75">
      <c r="A904" s="27" t="s">
        <v>1431</v>
      </c>
      <c r="B904" s="28">
        <v>496</v>
      </c>
      <c r="C904" s="29" t="s">
        <v>1427</v>
      </c>
      <c r="D904" s="27">
        <v>2016</v>
      </c>
    </row>
    <row r="905" spans="1:4" ht="12.75">
      <c r="A905" s="7" t="s">
        <v>1432</v>
      </c>
      <c r="B905" s="8">
        <v>459</v>
      </c>
      <c r="C905" s="9" t="s">
        <v>1427</v>
      </c>
      <c r="D905" s="7">
        <v>2016</v>
      </c>
    </row>
    <row r="906" spans="1:4" ht="12.75">
      <c r="A906" s="27" t="s">
        <v>1433</v>
      </c>
      <c r="B906" s="28">
        <v>407</v>
      </c>
      <c r="C906" s="29" t="s">
        <v>1427</v>
      </c>
      <c r="D906" s="27">
        <v>2016</v>
      </c>
    </row>
    <row r="907" spans="1:4" ht="12.75">
      <c r="A907" s="7" t="s">
        <v>1434</v>
      </c>
      <c r="B907" s="8">
        <v>369</v>
      </c>
      <c r="C907" s="7"/>
      <c r="D907" s="7">
        <v>2017</v>
      </c>
    </row>
    <row r="908" spans="1:4" ht="12.75">
      <c r="A908" s="27" t="s">
        <v>1435</v>
      </c>
      <c r="B908" s="28">
        <v>338</v>
      </c>
      <c r="C908" s="29" t="s">
        <v>1427</v>
      </c>
      <c r="D908" s="27">
        <v>2016</v>
      </c>
    </row>
    <row r="909" spans="1:4" ht="12.75">
      <c r="A909" s="7" t="s">
        <v>1436</v>
      </c>
      <c r="B909" s="8">
        <v>325</v>
      </c>
      <c r="C909" s="9" t="s">
        <v>1430</v>
      </c>
      <c r="D909" s="7">
        <v>2012</v>
      </c>
    </row>
    <row r="910" spans="1:4" ht="12.75">
      <c r="A910" s="27" t="s">
        <v>1437</v>
      </c>
      <c r="B910" s="28">
        <v>297</v>
      </c>
      <c r="C910" s="29" t="s">
        <v>1427</v>
      </c>
      <c r="D910" s="27">
        <v>2016</v>
      </c>
    </row>
    <row r="911" spans="1:4" ht="12.75">
      <c r="A911" s="152"/>
      <c r="B911" s="153"/>
      <c r="C911" s="153"/>
      <c r="D911" s="154"/>
    </row>
    <row r="912" spans="1:4" ht="18">
      <c r="A912" s="22" t="str">
        <f>HYPERLINK("https://www.reddit.com/r/indieheads/comments/4q9ies/top_ten_tuesday_franz_ferdinand/","Franz Ferdinand")</f>
        <v>Franz Ferdinand</v>
      </c>
      <c r="B912" s="43">
        <v>42549</v>
      </c>
      <c r="C912" s="24"/>
      <c r="D912" s="24"/>
    </row>
    <row r="913" spans="1:4" ht="12.75">
      <c r="A913" s="26" t="s">
        <v>2</v>
      </c>
      <c r="B913" s="26" t="s">
        <v>3</v>
      </c>
      <c r="C913" s="26" t="s">
        <v>4</v>
      </c>
      <c r="D913" s="26" t="s">
        <v>5</v>
      </c>
    </row>
    <row r="914" spans="1:4" ht="12.75">
      <c r="A914" s="9" t="str">
        <f>HYPERLINK("https://www.youtube.com/watch?v=Ijk4j-r7qPA","Take Me Out")</f>
        <v>Take Me Out</v>
      </c>
      <c r="B914" s="8">
        <v>282</v>
      </c>
      <c r="C914" s="9" t="str">
        <f t="shared" ref="C914:C915" si="57">HYPERLINK("https://en.wikipedia.org/wiki/Franz_Ferdinand_(album)","Franz Ferdinand")</f>
        <v>Franz Ferdinand</v>
      </c>
      <c r="D914" s="7">
        <v>2004</v>
      </c>
    </row>
    <row r="915" spans="1:4" ht="12.75">
      <c r="A915" s="29" t="str">
        <f>HYPERLINK("https://www.youtube.com/watch?v=cKyG1dRoDlA","The Dark of the Matinee")</f>
        <v>The Dark of the Matinee</v>
      </c>
      <c r="B915" s="28">
        <v>201</v>
      </c>
      <c r="C915" s="29" t="str">
        <f t="shared" si="57"/>
        <v>Franz Ferdinand</v>
      </c>
      <c r="D915" s="27">
        <v>2004</v>
      </c>
    </row>
    <row r="916" spans="1:4" ht="12.75">
      <c r="A916" s="9" t="str">
        <f>HYPERLINK("https://www.youtube.com/watch?v=31sZ9xZr_Ew","Ulysses")</f>
        <v>Ulysses</v>
      </c>
      <c r="B916" s="8">
        <v>164</v>
      </c>
      <c r="C916" s="9" t="str">
        <f>HYPERLINK("https://en.wikipedia.org/wiki/Tonight:_Franz_Ferdinand","Tonight: Franz Ferdinand")</f>
        <v>Tonight: Franz Ferdinand</v>
      </c>
      <c r="D916" s="7">
        <v>2009</v>
      </c>
    </row>
    <row r="917" spans="1:4" ht="12.75">
      <c r="A917" s="29" t="str">
        <f>HYPERLINK("https://www.youtube.com/watch?v=laRKuwz4BpI","Jacqueline")</f>
        <v>Jacqueline</v>
      </c>
      <c r="B917" s="28">
        <v>116</v>
      </c>
      <c r="C917" s="29" t="str">
        <f>HYPERLINK("https://en.wikipedia.org/wiki/Franz_Ferdinand_(album)","Franz Ferdinand")</f>
        <v>Franz Ferdinand</v>
      </c>
      <c r="D917" s="27">
        <v>2004</v>
      </c>
    </row>
    <row r="918" spans="1:4" ht="12.75">
      <c r="A918" s="9" t="str">
        <f>HYPERLINK("https://www.youtube.com/watch?v=MsXzLgPXlNE","The Fallen")</f>
        <v>The Fallen</v>
      </c>
      <c r="B918" s="8">
        <v>110</v>
      </c>
      <c r="C918" s="9" t="str">
        <f>HYPERLINK("https://en.wikipedia.org/wiki/You_Could_Have_It_So_Much_Better","You Could Have It So Much Better")</f>
        <v>You Could Have It So Much Better</v>
      </c>
      <c r="D918" s="7">
        <v>2005</v>
      </c>
    </row>
    <row r="919" spans="1:4" ht="12.75">
      <c r="A919" s="29" t="str">
        <f>HYPERLINK("https://www.youtube.com/watch?v=25sBhhOR4lw","No You Girls")</f>
        <v>No You Girls</v>
      </c>
      <c r="B919" s="28">
        <v>102</v>
      </c>
      <c r="C919" s="29" t="str">
        <f>HYPERLINK("https://en.wikipedia.org/wiki/Tonight:_Franz_Ferdinand","Tonight: Franz Ferdinand")</f>
        <v>Tonight: Franz Ferdinand</v>
      </c>
      <c r="D919" s="27">
        <v>2009</v>
      </c>
    </row>
    <row r="920" spans="1:4" ht="12.75">
      <c r="A920" s="9" t="str">
        <f>HYPERLINK("https://www.youtube.com/watch?v=ktwlN_ocL-o","Michael")</f>
        <v>Michael</v>
      </c>
      <c r="B920" s="8">
        <v>102</v>
      </c>
      <c r="C920" s="9" t="str">
        <f t="shared" ref="C920:C921" si="58">HYPERLINK("https://en.wikipedia.org/wiki/Franz_Ferdinand_(album)","Franz Ferdinand")</f>
        <v>Franz Ferdinand</v>
      </c>
      <c r="D920" s="7">
        <v>2004</v>
      </c>
    </row>
    <row r="921" spans="1:4" ht="12.75">
      <c r="A921" s="29" t="str">
        <f>HYPERLINK("https://www.youtube.com/watch?v=AMJvU4dVukE","This Fire")</f>
        <v>This Fire</v>
      </c>
      <c r="B921" s="28">
        <v>92</v>
      </c>
      <c r="C921" s="29" t="str">
        <f t="shared" si="58"/>
        <v>Franz Ferdinand</v>
      </c>
      <c r="D921" s="27">
        <v>2004</v>
      </c>
    </row>
    <row r="922" spans="1:4" ht="12.75">
      <c r="A922" s="9" t="str">
        <f>HYPERLINK("https://www.youtube.com/watch?v=Z1qPnSZDrAQ","Walk Away")</f>
        <v>Walk Away</v>
      </c>
      <c r="B922" s="8">
        <v>85</v>
      </c>
      <c r="C922" s="9" t="str">
        <f>HYPERLINK("https://en.wikipedia.org/wiki/You_Could_Have_It_So_Much_Better","You Could Have It So Much Better")</f>
        <v>You Could Have It So Much Better</v>
      </c>
      <c r="D922" s="7">
        <v>2005</v>
      </c>
    </row>
    <row r="923" spans="1:4" ht="12.75">
      <c r="A923" s="29" t="str">
        <f>HYPERLINK("https://www.youtube.com/watch?v=wznMbAkyBHQ","Darts of Pleasure")</f>
        <v>Darts of Pleasure</v>
      </c>
      <c r="B923" s="28">
        <v>84</v>
      </c>
      <c r="C923" s="29" t="str">
        <f>HYPERLINK("https://en.wikipedia.org/wiki/Franz_Ferdinand_(album)","Franz Ferdinand")</f>
        <v>Franz Ferdinand</v>
      </c>
      <c r="D923" s="27">
        <v>2003</v>
      </c>
    </row>
    <row r="924" spans="1:4" ht="12.75">
      <c r="A924" s="152"/>
      <c r="B924" s="153"/>
      <c r="C924" s="153"/>
      <c r="D924" s="154"/>
    </row>
    <row r="925" spans="1:4" ht="18">
      <c r="A925" s="22" t="str">
        <f>HYPERLINK("https://www.reddit.com/r/indieheads/comments/fk37od/top_ten_tuesday_frightened_rabbit/","Frightened Rabbit")</f>
        <v>Frightened Rabbit</v>
      </c>
      <c r="B925" s="30">
        <v>43907</v>
      </c>
      <c r="C925" s="24"/>
      <c r="D925" s="32" t="s">
        <v>1</v>
      </c>
    </row>
    <row r="926" spans="1:4" ht="12.75">
      <c r="A926" s="26" t="s">
        <v>2</v>
      </c>
      <c r="B926" s="26" t="s">
        <v>3</v>
      </c>
      <c r="C926" s="26" t="s">
        <v>4</v>
      </c>
      <c r="D926" s="26" t="s">
        <v>5</v>
      </c>
    </row>
    <row r="927" spans="1:4" ht="12.75">
      <c r="A927" s="7" t="s">
        <v>1438</v>
      </c>
      <c r="B927" s="8">
        <v>716</v>
      </c>
      <c r="C927" s="9" t="str">
        <f t="shared" ref="C927:C931" si="59">HYPERLINK("https://en.wikipedia.org/wiki/The_Midnight_Organ_Fight","The Midnight Organ Fight")</f>
        <v>The Midnight Organ Fight</v>
      </c>
      <c r="D927" s="7">
        <v>2008</v>
      </c>
    </row>
    <row r="928" spans="1:4" ht="12.75">
      <c r="A928" s="27" t="s">
        <v>1439</v>
      </c>
      <c r="B928" s="28">
        <v>416</v>
      </c>
      <c r="C928" s="29" t="str">
        <f t="shared" si="59"/>
        <v>The Midnight Organ Fight</v>
      </c>
      <c r="D928" s="27">
        <v>2008</v>
      </c>
    </row>
    <row r="929" spans="1:4" ht="12.75">
      <c r="A929" s="7" t="s">
        <v>1440</v>
      </c>
      <c r="B929" s="8">
        <v>345</v>
      </c>
      <c r="C929" s="9" t="str">
        <f t="shared" si="59"/>
        <v>The Midnight Organ Fight</v>
      </c>
      <c r="D929" s="7">
        <v>2008</v>
      </c>
    </row>
    <row r="930" spans="1:4" ht="12.75">
      <c r="A930" s="27" t="s">
        <v>1441</v>
      </c>
      <c r="B930" s="28">
        <v>320</v>
      </c>
      <c r="C930" s="29" t="str">
        <f t="shared" si="59"/>
        <v>The Midnight Organ Fight</v>
      </c>
      <c r="D930" s="27">
        <v>2008</v>
      </c>
    </row>
    <row r="931" spans="1:4" ht="12.75">
      <c r="A931" s="7" t="s">
        <v>1442</v>
      </c>
      <c r="B931" s="8">
        <v>316</v>
      </c>
      <c r="C931" s="9" t="str">
        <f t="shared" si="59"/>
        <v>The Midnight Organ Fight</v>
      </c>
      <c r="D931" s="7">
        <v>2008</v>
      </c>
    </row>
    <row r="932" spans="1:4" ht="12.75">
      <c r="A932" s="27" t="s">
        <v>1443</v>
      </c>
      <c r="B932" s="28">
        <v>244</v>
      </c>
      <c r="C932" s="29" t="str">
        <f>HYPERLINK("https://en.wikipedia.org/wiki/The_Winter_of_Mixed_Drinks","The Winter of Mixed Drinks")</f>
        <v>The Winter of Mixed Drinks</v>
      </c>
      <c r="D932" s="27">
        <v>2009</v>
      </c>
    </row>
    <row r="933" spans="1:4" ht="12.75">
      <c r="A933" s="7" t="s">
        <v>1444</v>
      </c>
      <c r="B933" s="8">
        <v>232</v>
      </c>
      <c r="C933" s="9" t="str">
        <f>HYPERLINK("https://en.wikipedia.org/wiki/The_Midnight_Organ_Fight","The Midnight Organ Fight")</f>
        <v>The Midnight Organ Fight</v>
      </c>
      <c r="D933" s="7">
        <v>2008</v>
      </c>
    </row>
    <row r="934" spans="1:4" ht="12.75">
      <c r="A934" s="27" t="s">
        <v>1445</v>
      </c>
      <c r="B934" s="28">
        <v>229</v>
      </c>
      <c r="C934" s="29" t="str">
        <f>HYPERLINK("https://en.wikipedia.org/wiki/The_Winter_of_Mixed_Drinks","The Winter of Mixed Drinks")</f>
        <v>The Winter of Mixed Drinks</v>
      </c>
      <c r="D934" s="27">
        <v>2010</v>
      </c>
    </row>
    <row r="935" spans="1:4" ht="12.75">
      <c r="A935" s="7" t="s">
        <v>1446</v>
      </c>
      <c r="B935" s="8">
        <v>218</v>
      </c>
      <c r="C935" s="9" t="str">
        <f t="shared" ref="C935:C936" si="60">HYPERLINK("https://en.wikipedia.org/wiki/Pedestrian_Verse","Pedestrian Verse")</f>
        <v>Pedestrian Verse</v>
      </c>
      <c r="D935" s="7">
        <v>2012</v>
      </c>
    </row>
    <row r="936" spans="1:4" ht="12.75">
      <c r="A936" s="27" t="s">
        <v>1447</v>
      </c>
      <c r="B936" s="28">
        <v>189</v>
      </c>
      <c r="C936" s="29" t="str">
        <f t="shared" si="60"/>
        <v>Pedestrian Verse</v>
      </c>
      <c r="D936" s="27">
        <v>2013</v>
      </c>
    </row>
    <row r="937" spans="1:4" ht="12.75">
      <c r="A937" s="152"/>
      <c r="B937" s="153"/>
      <c r="C937" s="153"/>
      <c r="D937" s="154"/>
    </row>
    <row r="938" spans="1:4" ht="18">
      <c r="A938" s="22" t="str">
        <f>HYPERLINK("https://www.reddit.com/r/indieheads/comments/cb0m3l/top_ten_tuesday_fucked_up/","Fucked Up")</f>
        <v>Fucked Up</v>
      </c>
      <c r="B938" s="30">
        <v>43655</v>
      </c>
      <c r="C938" s="24"/>
      <c r="D938" s="32" t="s">
        <v>1</v>
      </c>
    </row>
    <row r="939" spans="1:4" ht="12.75">
      <c r="A939" s="26" t="s">
        <v>2</v>
      </c>
      <c r="B939" s="26" t="s">
        <v>3</v>
      </c>
      <c r="C939" s="26" t="s">
        <v>4</v>
      </c>
      <c r="D939" s="26" t="s">
        <v>5</v>
      </c>
    </row>
    <row r="940" spans="1:4" ht="12.75">
      <c r="A940" s="7" t="s">
        <v>1448</v>
      </c>
      <c r="B940" s="8">
        <v>68</v>
      </c>
      <c r="C940" s="9" t="str">
        <f>HYPERLINK("https://en.wikipedia.org/wiki/The_Chemistry_of_Common_Life","The Chemistry of Common Life")</f>
        <v>The Chemistry of Common Life</v>
      </c>
      <c r="D940" s="7">
        <v>2008</v>
      </c>
    </row>
    <row r="941" spans="1:4" ht="12.75">
      <c r="A941" s="27" t="s">
        <v>1449</v>
      </c>
      <c r="B941" s="28">
        <v>49</v>
      </c>
      <c r="C941" s="29" t="str">
        <f t="shared" ref="C941:C942" si="61">HYPERLINK("https://en.wikipedia.org/wiki/David_Comes_to_Life","David Comes to Life")</f>
        <v>David Comes to Life</v>
      </c>
      <c r="D941" s="27">
        <v>2011</v>
      </c>
    </row>
    <row r="942" spans="1:4" ht="12.75">
      <c r="A942" s="7" t="s">
        <v>1450</v>
      </c>
      <c r="B942" s="8">
        <v>38</v>
      </c>
      <c r="C942" s="9" t="str">
        <f t="shared" si="61"/>
        <v>David Comes to Life</v>
      </c>
      <c r="D942" s="7">
        <v>2011</v>
      </c>
    </row>
    <row r="943" spans="1:4" ht="12.75">
      <c r="A943" s="27" t="s">
        <v>1451</v>
      </c>
      <c r="B943" s="28">
        <v>36</v>
      </c>
      <c r="C943" s="29" t="str">
        <f>HYPERLINK("https://en.wikipedia.org/wiki/The_Chemistry_of_Common_Life","The Chemistry of Common Life")</f>
        <v>The Chemistry of Common Life</v>
      </c>
      <c r="D943" s="27">
        <v>2008</v>
      </c>
    </row>
    <row r="944" spans="1:4" ht="12.75">
      <c r="A944" s="7" t="s">
        <v>1452</v>
      </c>
      <c r="B944" s="8">
        <v>28</v>
      </c>
      <c r="C944" s="9" t="str">
        <f>HYPERLINK("https://en.wikipedia.org/wiki/David_Comes_to_Life","David Comes to Life")</f>
        <v>David Comes to Life</v>
      </c>
      <c r="D944" s="7">
        <v>2011</v>
      </c>
    </row>
    <row r="945" spans="1:4" ht="12.75">
      <c r="A945" s="27" t="s">
        <v>1453</v>
      </c>
      <c r="B945" s="28">
        <v>27</v>
      </c>
      <c r="C945" s="27"/>
      <c r="D945" s="27">
        <v>2003</v>
      </c>
    </row>
    <row r="946" spans="1:4" ht="12.75">
      <c r="A946" s="7" t="s">
        <v>1454</v>
      </c>
      <c r="B946" s="8">
        <v>26</v>
      </c>
      <c r="C946" s="9" t="str">
        <f>HYPERLINK("https://en.wikipedia.org/wiki/Hidden_World_(album)","Hidden World")</f>
        <v>Hidden World</v>
      </c>
      <c r="D946" s="7">
        <v>2006</v>
      </c>
    </row>
    <row r="947" spans="1:4" ht="12.75">
      <c r="A947" s="27" t="s">
        <v>1455</v>
      </c>
      <c r="B947" s="28">
        <v>25</v>
      </c>
      <c r="C947" s="29" t="str">
        <f>HYPERLINK("https://en.wikipedia.org/wiki/David_Comes_to_Life","David Comes to Life")</f>
        <v>David Comes to Life</v>
      </c>
      <c r="D947" s="27">
        <v>2011</v>
      </c>
    </row>
    <row r="948" spans="1:4" ht="12.75">
      <c r="A948" s="7" t="s">
        <v>1456</v>
      </c>
      <c r="B948" s="8">
        <v>25</v>
      </c>
      <c r="C948" s="9" t="str">
        <f>HYPERLINK("https://en.wikipedia.org/wiki/Hidden_World_(album)","Hidden World")</f>
        <v>Hidden World</v>
      </c>
      <c r="D948" s="7">
        <v>2006</v>
      </c>
    </row>
    <row r="949" spans="1:4" ht="12.75">
      <c r="A949" s="27" t="s">
        <v>1457</v>
      </c>
      <c r="B949" s="28">
        <v>24</v>
      </c>
      <c r="C949" s="29" t="str">
        <f>HYPERLINK("https://en.wikipedia.org/wiki/David_Comes_to_Life","David Comes to Life")</f>
        <v>David Comes to Life</v>
      </c>
      <c r="D949" s="27">
        <v>2011</v>
      </c>
    </row>
    <row r="950" spans="1:4" ht="12.75">
      <c r="A950" s="152"/>
      <c r="B950" s="153"/>
      <c r="C950" s="153"/>
      <c r="D950" s="154"/>
    </row>
    <row r="951" spans="1:4" ht="18">
      <c r="A951" s="22" t="str">
        <f>HYPERLINK("https://www.reddit.com/r/indieheads/comments/5gvnmt/top_ten_tuesday_fugazi/","Fugazi")</f>
        <v>Fugazi</v>
      </c>
      <c r="B951" s="30">
        <v>42710</v>
      </c>
      <c r="C951" s="24"/>
      <c r="D951" s="24"/>
    </row>
    <row r="952" spans="1:4" ht="12.75">
      <c r="A952" s="26" t="s">
        <v>2</v>
      </c>
      <c r="B952" s="26" t="s">
        <v>3</v>
      </c>
      <c r="C952" s="26" t="s">
        <v>4</v>
      </c>
      <c r="D952" s="26" t="s">
        <v>5</v>
      </c>
    </row>
    <row r="953" spans="1:4" ht="12.75">
      <c r="A953" s="7" t="s">
        <v>1458</v>
      </c>
      <c r="B953" s="8">
        <v>79</v>
      </c>
      <c r="C953" s="9" t="str">
        <f>HYPERLINK("https://en.wikipedia.org/wiki/Fugazi_(EP)","Fugazi EP")</f>
        <v>Fugazi EP</v>
      </c>
      <c r="D953" s="7">
        <v>1988</v>
      </c>
    </row>
    <row r="954" spans="1:4" ht="12.75">
      <c r="A954" s="27" t="s">
        <v>1459</v>
      </c>
      <c r="B954" s="28">
        <v>59</v>
      </c>
      <c r="C954" s="29" t="str">
        <f>HYPERLINK("https://en.wikipedia.org/wiki/The_Argument","The Argument")</f>
        <v>The Argument</v>
      </c>
      <c r="D954" s="27">
        <v>2001</v>
      </c>
    </row>
    <row r="955" spans="1:4" ht="12.75">
      <c r="A955" s="7" t="s">
        <v>1460</v>
      </c>
      <c r="B955" s="8">
        <v>55</v>
      </c>
      <c r="C955" s="9" t="str">
        <f>HYPERLINK("https://en.wikipedia.org/wiki/In_on_the_Kill_Taker","In on the Kill Taker")</f>
        <v>In on the Kill Taker</v>
      </c>
      <c r="D955" s="7">
        <v>1993</v>
      </c>
    </row>
    <row r="956" spans="1:4" ht="12.75">
      <c r="A956" s="27" t="s">
        <v>1461</v>
      </c>
      <c r="B956" s="28">
        <v>46</v>
      </c>
      <c r="C956" s="29" t="str">
        <f>HYPERLINK("https://en.wikipedia.org/wiki/Red_Medicine","Red Machine")</f>
        <v>Red Machine</v>
      </c>
      <c r="D956" s="27">
        <v>1995</v>
      </c>
    </row>
    <row r="957" spans="1:4" ht="12.75">
      <c r="A957" s="7" t="s">
        <v>1462</v>
      </c>
      <c r="B957" s="8">
        <v>45</v>
      </c>
      <c r="C957" s="9" t="str">
        <f t="shared" ref="C957:C958" si="62">HYPERLINK("https://en.wikipedia.org/wiki/Repeater_(album)","Repeater")</f>
        <v>Repeater</v>
      </c>
      <c r="D957" s="7">
        <v>1990</v>
      </c>
    </row>
    <row r="958" spans="1:4" ht="12.75">
      <c r="A958" s="27" t="s">
        <v>1463</v>
      </c>
      <c r="B958" s="28">
        <v>45</v>
      </c>
      <c r="C958" s="29" t="str">
        <f t="shared" si="62"/>
        <v>Repeater</v>
      </c>
      <c r="D958" s="27">
        <v>1990</v>
      </c>
    </row>
    <row r="959" spans="1:4" ht="12.75">
      <c r="A959" s="7" t="s">
        <v>1464</v>
      </c>
      <c r="B959" s="8">
        <v>43</v>
      </c>
      <c r="C959" s="9" t="str">
        <f>HYPERLINK("https://en.wikipedia.org/wiki/Red_Medicine","Red Machine")</f>
        <v>Red Machine</v>
      </c>
      <c r="D959" s="7">
        <v>1995</v>
      </c>
    </row>
    <row r="960" spans="1:4" ht="12.75">
      <c r="A960" s="27" t="s">
        <v>1465</v>
      </c>
      <c r="B960" s="28">
        <v>36</v>
      </c>
      <c r="C960" s="29" t="str">
        <f>HYPERLINK("https://en.wikipedia.org/wiki/The_Argument","The Argument")</f>
        <v>The Argument</v>
      </c>
      <c r="D960" s="27">
        <v>2001</v>
      </c>
    </row>
    <row r="961" spans="1:4" ht="12.75">
      <c r="A961" s="7" t="s">
        <v>1466</v>
      </c>
      <c r="B961" s="8">
        <v>35</v>
      </c>
      <c r="C961" s="9" t="str">
        <f>HYPERLINK("https://en.wikipedia.org/wiki/Repeater_(album)","Repeater")</f>
        <v>Repeater</v>
      </c>
      <c r="D961" s="7">
        <v>1990</v>
      </c>
    </row>
    <row r="962" spans="1:4" ht="12.75">
      <c r="A962" s="27" t="s">
        <v>1467</v>
      </c>
      <c r="B962" s="28">
        <v>34</v>
      </c>
      <c r="C962" s="29" t="str">
        <f>HYPERLINK("https://en.wikipedia.org/wiki/Fugazi_(EP)","Fugazi EP")</f>
        <v>Fugazi EP</v>
      </c>
      <c r="D962" s="27">
        <v>1988</v>
      </c>
    </row>
    <row r="963" spans="1:4" ht="12.75">
      <c r="A963" s="152"/>
      <c r="B963" s="153"/>
      <c r="C963" s="153"/>
      <c r="D963" s="154"/>
    </row>
    <row r="964" spans="1:4" ht="18">
      <c r="A964" s="22" t="str">
        <f>HYPERLINK("https://www.reddit.com/r/indieheads/comments/6vay1b/top_ten_tuesday_future_islands/","Future Islands")</f>
        <v>Future Islands</v>
      </c>
      <c r="B964" s="30">
        <v>42969</v>
      </c>
      <c r="C964" s="24"/>
      <c r="D964" s="24"/>
    </row>
    <row r="965" spans="1:4" ht="12.75">
      <c r="A965" s="26" t="s">
        <v>2</v>
      </c>
      <c r="B965" s="26" t="s">
        <v>3</v>
      </c>
      <c r="C965" s="26" t="s">
        <v>4</v>
      </c>
      <c r="D965" s="26" t="s">
        <v>5</v>
      </c>
    </row>
    <row r="966" spans="1:4" ht="12.75">
      <c r="A966" s="7" t="s">
        <v>1468</v>
      </c>
      <c r="B966" s="8">
        <v>131</v>
      </c>
      <c r="C966" s="9" t="str">
        <f>HYPERLINK("https://en.wikipedia.org/wiki/Singles_(Future_Islands_album)","Singles")</f>
        <v>Singles</v>
      </c>
      <c r="D966" s="7">
        <v>2014</v>
      </c>
    </row>
    <row r="967" spans="1:4" ht="12.75">
      <c r="A967" s="27" t="s">
        <v>1469</v>
      </c>
      <c r="B967" s="28">
        <v>116</v>
      </c>
      <c r="C967" s="29" t="str">
        <f>HYPERLINK("https://en.wikipedia.org/wiki/On_the_Water_(album)","On the Water")</f>
        <v>On the Water</v>
      </c>
      <c r="D967" s="27">
        <v>2011</v>
      </c>
    </row>
    <row r="968" spans="1:4" ht="12.75">
      <c r="A968" s="7" t="s">
        <v>1470</v>
      </c>
      <c r="B968" s="8">
        <v>110</v>
      </c>
      <c r="C968" s="9" t="str">
        <f t="shared" ref="C968:C969" si="63">HYPERLINK("https://en.wikipedia.org/wiki/In_Evening_Air","In Evening Air")</f>
        <v>In Evening Air</v>
      </c>
      <c r="D968" s="7">
        <v>2010</v>
      </c>
    </row>
    <row r="969" spans="1:4" ht="12.75">
      <c r="A969" s="27" t="s">
        <v>1471</v>
      </c>
      <c r="B969" s="28">
        <v>106</v>
      </c>
      <c r="C969" s="29" t="str">
        <f t="shared" si="63"/>
        <v>In Evening Air</v>
      </c>
      <c r="D969" s="27">
        <v>2010</v>
      </c>
    </row>
    <row r="970" spans="1:4" ht="12.75">
      <c r="A970" s="7" t="s">
        <v>1472</v>
      </c>
      <c r="B970" s="8">
        <v>104</v>
      </c>
      <c r="C970" s="9" t="str">
        <f>HYPERLINK("https://en.wikipedia.org/wiki/Singles_(Future_Islands_album)","Singles")</f>
        <v>Singles</v>
      </c>
      <c r="D970" s="7">
        <v>2014</v>
      </c>
    </row>
    <row r="971" spans="1:4" ht="12.75">
      <c r="A971" s="27" t="s">
        <v>1473</v>
      </c>
      <c r="B971" s="28">
        <v>70</v>
      </c>
      <c r="C971" s="29" t="str">
        <f t="shared" ref="C971:C973" si="64">HYPERLINK("https://en.wikipedia.org/wiki/In_Evening_Air","In Evening Air")</f>
        <v>In Evening Air</v>
      </c>
      <c r="D971" s="27">
        <v>2010</v>
      </c>
    </row>
    <row r="972" spans="1:4" ht="12.75">
      <c r="A972" s="7" t="s">
        <v>1474</v>
      </c>
      <c r="B972" s="8">
        <v>58</v>
      </c>
      <c r="C972" s="9" t="str">
        <f t="shared" si="64"/>
        <v>In Evening Air</v>
      </c>
      <c r="D972" s="7">
        <v>2010</v>
      </c>
    </row>
    <row r="973" spans="1:4" ht="12.75">
      <c r="A973" s="27" t="s">
        <v>1475</v>
      </c>
      <c r="B973" s="28">
        <v>51</v>
      </c>
      <c r="C973" s="29" t="str">
        <f t="shared" si="64"/>
        <v>In Evening Air</v>
      </c>
      <c r="D973" s="27">
        <v>2010</v>
      </c>
    </row>
    <row r="974" spans="1:4" ht="12.75">
      <c r="A974" s="7" t="s">
        <v>1476</v>
      </c>
      <c r="B974" s="8">
        <v>44</v>
      </c>
      <c r="C974" s="9" t="str">
        <f>HYPERLINK("https://en.wikipedia.org/wiki/On_the_Water_(album)","On the Water")</f>
        <v>On the Water</v>
      </c>
      <c r="D974" s="7">
        <v>2011</v>
      </c>
    </row>
    <row r="975" spans="1:4" ht="12.75">
      <c r="A975" s="27" t="s">
        <v>1477</v>
      </c>
      <c r="B975" s="28">
        <v>42</v>
      </c>
      <c r="C975" s="29" t="str">
        <f>HYPERLINK("https://en.wikipedia.org/wiki/Singles_(Future_Islands_album)","Singles")</f>
        <v>Singles</v>
      </c>
      <c r="D975" s="27">
        <v>2014</v>
      </c>
    </row>
    <row r="976" spans="1:4" ht="12.75">
      <c r="A976" s="152"/>
      <c r="B976" s="153"/>
      <c r="C976" s="153"/>
      <c r="D976" s="154"/>
    </row>
  </sheetData>
  <mergeCells count="76">
    <mergeCell ref="A586:D586"/>
    <mergeCell ref="A599:D599"/>
    <mergeCell ref="A612:D612"/>
    <mergeCell ref="A625:D625"/>
    <mergeCell ref="A521:D521"/>
    <mergeCell ref="A534:D534"/>
    <mergeCell ref="A547:D547"/>
    <mergeCell ref="A560:D560"/>
    <mergeCell ref="A573:D573"/>
    <mergeCell ref="A456:D456"/>
    <mergeCell ref="A469:D469"/>
    <mergeCell ref="A482:D482"/>
    <mergeCell ref="A495:D495"/>
    <mergeCell ref="A508:D508"/>
    <mergeCell ref="A391:D391"/>
    <mergeCell ref="A404:D404"/>
    <mergeCell ref="A417:D417"/>
    <mergeCell ref="A430:D430"/>
    <mergeCell ref="A443:D443"/>
    <mergeCell ref="A326:D326"/>
    <mergeCell ref="A339:D339"/>
    <mergeCell ref="A352:D352"/>
    <mergeCell ref="A365:D365"/>
    <mergeCell ref="A378:D378"/>
    <mergeCell ref="A261:D261"/>
    <mergeCell ref="A274:D274"/>
    <mergeCell ref="A287:D287"/>
    <mergeCell ref="A300:D300"/>
    <mergeCell ref="A313:D313"/>
    <mergeCell ref="A196:D196"/>
    <mergeCell ref="A209:D209"/>
    <mergeCell ref="A222:D222"/>
    <mergeCell ref="A235:D235"/>
    <mergeCell ref="A248:D248"/>
    <mergeCell ref="A131:D131"/>
    <mergeCell ref="A144:D144"/>
    <mergeCell ref="A157:D157"/>
    <mergeCell ref="A170:D170"/>
    <mergeCell ref="A183:D183"/>
    <mergeCell ref="A66:D66"/>
    <mergeCell ref="A79:D79"/>
    <mergeCell ref="A92:D92"/>
    <mergeCell ref="A105:D105"/>
    <mergeCell ref="A118:D118"/>
    <mergeCell ref="A1:D1"/>
    <mergeCell ref="A14:D14"/>
    <mergeCell ref="A27:D27"/>
    <mergeCell ref="A40:D40"/>
    <mergeCell ref="A53:D53"/>
    <mergeCell ref="A924:D924"/>
    <mergeCell ref="A937:D937"/>
    <mergeCell ref="A950:D950"/>
    <mergeCell ref="A963:D963"/>
    <mergeCell ref="A976:D976"/>
    <mergeCell ref="A768:D768"/>
    <mergeCell ref="A781:D781"/>
    <mergeCell ref="A794:D794"/>
    <mergeCell ref="A807:D807"/>
    <mergeCell ref="A911:D911"/>
    <mergeCell ref="A820:D820"/>
    <mergeCell ref="A833:D833"/>
    <mergeCell ref="A846:D846"/>
    <mergeCell ref="A859:D859"/>
    <mergeCell ref="A872:D872"/>
    <mergeCell ref="A885:D885"/>
    <mergeCell ref="A898:D898"/>
    <mergeCell ref="A703:D703"/>
    <mergeCell ref="A716:D716"/>
    <mergeCell ref="A729:D729"/>
    <mergeCell ref="A742:D742"/>
    <mergeCell ref="A755:D755"/>
    <mergeCell ref="A638:D638"/>
    <mergeCell ref="A651:D651"/>
    <mergeCell ref="A664:D664"/>
    <mergeCell ref="A677:D677"/>
    <mergeCell ref="A690:D690"/>
  </mergeCells>
  <hyperlinks>
    <hyperlink ref="D2" r:id="rId1" xr:uid="{00000000-0004-0000-0100-000000000000}"/>
    <hyperlink ref="D15" r:id="rId2" xr:uid="{00000000-0004-0000-0100-000001000000}"/>
    <hyperlink ref="D28" r:id="rId3" xr:uid="{00000000-0004-0000-0100-000002000000}"/>
    <hyperlink ref="A41" r:id="rId4" xr:uid="{00000000-0004-0000-0100-000003000000}"/>
    <hyperlink ref="D41" r:id="rId5" xr:uid="{00000000-0004-0000-0100-000004000000}"/>
    <hyperlink ref="C43" r:id="rId6" xr:uid="{00000000-0004-0000-0100-000005000000}"/>
    <hyperlink ref="C44" r:id="rId7" xr:uid="{00000000-0004-0000-0100-000006000000}"/>
    <hyperlink ref="C45" r:id="rId8" xr:uid="{00000000-0004-0000-0100-000007000000}"/>
    <hyperlink ref="C46" r:id="rId9" xr:uid="{00000000-0004-0000-0100-000008000000}"/>
    <hyperlink ref="C47" r:id="rId10" xr:uid="{00000000-0004-0000-0100-000009000000}"/>
    <hyperlink ref="C48" r:id="rId11" xr:uid="{00000000-0004-0000-0100-00000A000000}"/>
    <hyperlink ref="C49" r:id="rId12" xr:uid="{00000000-0004-0000-0100-00000B000000}"/>
    <hyperlink ref="C50" r:id="rId13" xr:uid="{00000000-0004-0000-0100-00000C000000}"/>
    <hyperlink ref="C51" r:id="rId14" xr:uid="{00000000-0004-0000-0100-00000D000000}"/>
    <hyperlink ref="C52" r:id="rId15" xr:uid="{00000000-0004-0000-0100-00000E000000}"/>
    <hyperlink ref="D54" r:id="rId16" xr:uid="{00000000-0004-0000-0100-00000F000000}"/>
    <hyperlink ref="D67" r:id="rId17" xr:uid="{00000000-0004-0000-0100-000010000000}"/>
    <hyperlink ref="A80" r:id="rId18" xr:uid="{00000000-0004-0000-0100-000011000000}"/>
    <hyperlink ref="D93" r:id="rId19" xr:uid="{00000000-0004-0000-0100-000012000000}"/>
    <hyperlink ref="A106" r:id="rId20" xr:uid="{00000000-0004-0000-0100-000013000000}"/>
    <hyperlink ref="A119" r:id="rId21" xr:uid="{00000000-0004-0000-0100-000014000000}"/>
    <hyperlink ref="A132" r:id="rId22" xr:uid="{00000000-0004-0000-0100-000015000000}"/>
    <hyperlink ref="D132" r:id="rId23" xr:uid="{00000000-0004-0000-0100-000016000000}"/>
    <hyperlink ref="C134" r:id="rId24" xr:uid="{00000000-0004-0000-0100-000017000000}"/>
    <hyperlink ref="C138" r:id="rId25" xr:uid="{00000000-0004-0000-0100-000018000000}"/>
    <hyperlink ref="C139" r:id="rId26" xr:uid="{00000000-0004-0000-0100-000019000000}"/>
    <hyperlink ref="C140" r:id="rId27" xr:uid="{00000000-0004-0000-0100-00001A000000}"/>
    <hyperlink ref="C141" r:id="rId28" xr:uid="{00000000-0004-0000-0100-00001B000000}"/>
    <hyperlink ref="C142" r:id="rId29" xr:uid="{00000000-0004-0000-0100-00001C000000}"/>
    <hyperlink ref="C143" r:id="rId30" xr:uid="{00000000-0004-0000-0100-00001D000000}"/>
    <hyperlink ref="D145" r:id="rId31" xr:uid="{00000000-0004-0000-0100-00001E000000}"/>
    <hyperlink ref="A158" r:id="rId32" xr:uid="{00000000-0004-0000-0100-00001F000000}"/>
    <hyperlink ref="D158" r:id="rId33" xr:uid="{00000000-0004-0000-0100-000020000000}"/>
    <hyperlink ref="C160" r:id="rId34" xr:uid="{00000000-0004-0000-0100-000021000000}"/>
    <hyperlink ref="C161" r:id="rId35" xr:uid="{00000000-0004-0000-0100-000022000000}"/>
    <hyperlink ref="C162" r:id="rId36" xr:uid="{00000000-0004-0000-0100-000023000000}"/>
    <hyperlink ref="C163" r:id="rId37" xr:uid="{00000000-0004-0000-0100-000024000000}"/>
    <hyperlink ref="C164" r:id="rId38" xr:uid="{00000000-0004-0000-0100-000025000000}"/>
    <hyperlink ref="C165" r:id="rId39" xr:uid="{00000000-0004-0000-0100-000026000000}"/>
    <hyperlink ref="C166" r:id="rId40" xr:uid="{00000000-0004-0000-0100-000027000000}"/>
    <hyperlink ref="C167" r:id="rId41" xr:uid="{00000000-0004-0000-0100-000028000000}"/>
    <hyperlink ref="C168" r:id="rId42" xr:uid="{00000000-0004-0000-0100-000029000000}"/>
    <hyperlink ref="D171" r:id="rId43" xr:uid="{00000000-0004-0000-0100-00002A000000}"/>
    <hyperlink ref="A184" r:id="rId44" xr:uid="{00000000-0004-0000-0100-00002B000000}"/>
    <hyperlink ref="D184" r:id="rId45" xr:uid="{00000000-0004-0000-0100-00002C000000}"/>
    <hyperlink ref="C186" r:id="rId46" xr:uid="{00000000-0004-0000-0100-00002D000000}"/>
    <hyperlink ref="C187" r:id="rId47" xr:uid="{00000000-0004-0000-0100-00002E000000}"/>
    <hyperlink ref="C188" r:id="rId48" xr:uid="{00000000-0004-0000-0100-00002F000000}"/>
    <hyperlink ref="C189" r:id="rId49" xr:uid="{00000000-0004-0000-0100-000030000000}"/>
    <hyperlink ref="C190" r:id="rId50" xr:uid="{00000000-0004-0000-0100-000031000000}"/>
    <hyperlink ref="C191" r:id="rId51" xr:uid="{00000000-0004-0000-0100-000032000000}"/>
    <hyperlink ref="C192" r:id="rId52" xr:uid="{00000000-0004-0000-0100-000033000000}"/>
    <hyperlink ref="C193" r:id="rId53" xr:uid="{00000000-0004-0000-0100-000034000000}"/>
    <hyperlink ref="C194" r:id="rId54" xr:uid="{00000000-0004-0000-0100-000035000000}"/>
    <hyperlink ref="C195" r:id="rId55" xr:uid="{00000000-0004-0000-0100-000036000000}"/>
    <hyperlink ref="D197" r:id="rId56" xr:uid="{00000000-0004-0000-0100-000037000000}"/>
    <hyperlink ref="D210" r:id="rId57" xr:uid="{00000000-0004-0000-0100-000038000000}"/>
    <hyperlink ref="D223" r:id="rId58" xr:uid="{00000000-0004-0000-0100-000039000000}"/>
    <hyperlink ref="D236" r:id="rId59" xr:uid="{00000000-0004-0000-0100-00003A000000}"/>
    <hyperlink ref="A249" r:id="rId60" xr:uid="{00000000-0004-0000-0100-00003B000000}"/>
    <hyperlink ref="D262" r:id="rId61" xr:uid="{00000000-0004-0000-0100-00003C000000}"/>
    <hyperlink ref="A275" r:id="rId62" xr:uid="{00000000-0004-0000-0100-00003D000000}"/>
    <hyperlink ref="A288" r:id="rId63" xr:uid="{00000000-0004-0000-0100-00003E000000}"/>
    <hyperlink ref="A301" r:id="rId64" xr:uid="{00000000-0004-0000-0100-00003F000000}"/>
    <hyperlink ref="D301" r:id="rId65" xr:uid="{00000000-0004-0000-0100-000040000000}"/>
    <hyperlink ref="C303" r:id="rId66" xr:uid="{00000000-0004-0000-0100-000041000000}"/>
    <hyperlink ref="C304" r:id="rId67" xr:uid="{00000000-0004-0000-0100-000042000000}"/>
    <hyperlink ref="C305" r:id="rId68" xr:uid="{00000000-0004-0000-0100-000043000000}"/>
    <hyperlink ref="C306" r:id="rId69" xr:uid="{00000000-0004-0000-0100-000044000000}"/>
    <hyperlink ref="C307" r:id="rId70" xr:uid="{00000000-0004-0000-0100-000045000000}"/>
    <hyperlink ref="C308" r:id="rId71" xr:uid="{00000000-0004-0000-0100-000046000000}"/>
    <hyperlink ref="C309" r:id="rId72" xr:uid="{00000000-0004-0000-0100-000047000000}"/>
    <hyperlink ref="C310" r:id="rId73" xr:uid="{00000000-0004-0000-0100-000048000000}"/>
    <hyperlink ref="C311" r:id="rId74" xr:uid="{00000000-0004-0000-0100-000049000000}"/>
    <hyperlink ref="C312" r:id="rId75" xr:uid="{00000000-0004-0000-0100-00004A000000}"/>
    <hyperlink ref="A327" r:id="rId76" xr:uid="{00000000-0004-0000-0100-00004B000000}"/>
    <hyperlink ref="D327" r:id="rId77" xr:uid="{00000000-0004-0000-0100-00004C000000}"/>
    <hyperlink ref="C329" r:id="rId78" xr:uid="{00000000-0004-0000-0100-00004D000000}"/>
    <hyperlink ref="C330" r:id="rId79" xr:uid="{00000000-0004-0000-0100-00004E000000}"/>
    <hyperlink ref="C331" r:id="rId80" xr:uid="{00000000-0004-0000-0100-00004F000000}"/>
    <hyperlink ref="C332" r:id="rId81" xr:uid="{00000000-0004-0000-0100-000050000000}"/>
    <hyperlink ref="C333" r:id="rId82" xr:uid="{00000000-0004-0000-0100-000051000000}"/>
    <hyperlink ref="C334" r:id="rId83" xr:uid="{00000000-0004-0000-0100-000052000000}"/>
    <hyperlink ref="C336" r:id="rId84" xr:uid="{00000000-0004-0000-0100-000053000000}"/>
    <hyperlink ref="C337" r:id="rId85" xr:uid="{00000000-0004-0000-0100-000054000000}"/>
    <hyperlink ref="C338" r:id="rId86" xr:uid="{00000000-0004-0000-0100-000055000000}"/>
    <hyperlink ref="A340" r:id="rId87" xr:uid="{00000000-0004-0000-0100-000056000000}"/>
    <hyperlink ref="A353" r:id="rId88" xr:uid="{00000000-0004-0000-0100-000057000000}"/>
    <hyperlink ref="A366" r:id="rId89" xr:uid="{00000000-0004-0000-0100-000058000000}"/>
    <hyperlink ref="D366" r:id="rId90" xr:uid="{00000000-0004-0000-0100-000059000000}"/>
    <hyperlink ref="C368" r:id="rId91" xr:uid="{00000000-0004-0000-0100-00005A000000}"/>
    <hyperlink ref="C369" r:id="rId92" xr:uid="{00000000-0004-0000-0100-00005B000000}"/>
    <hyperlink ref="C370" r:id="rId93" xr:uid="{00000000-0004-0000-0100-00005C000000}"/>
    <hyperlink ref="C371" r:id="rId94" xr:uid="{00000000-0004-0000-0100-00005D000000}"/>
    <hyperlink ref="C372" r:id="rId95" xr:uid="{00000000-0004-0000-0100-00005E000000}"/>
    <hyperlink ref="C373" r:id="rId96" xr:uid="{00000000-0004-0000-0100-00005F000000}"/>
    <hyperlink ref="C374" r:id="rId97" xr:uid="{00000000-0004-0000-0100-000060000000}"/>
    <hyperlink ref="C375" r:id="rId98" xr:uid="{00000000-0004-0000-0100-000061000000}"/>
    <hyperlink ref="C376" r:id="rId99" xr:uid="{00000000-0004-0000-0100-000062000000}"/>
    <hyperlink ref="C377" r:id="rId100" xr:uid="{00000000-0004-0000-0100-000063000000}"/>
    <hyperlink ref="A379" r:id="rId101" xr:uid="{00000000-0004-0000-0100-000064000000}"/>
    <hyperlink ref="A392" r:id="rId102" xr:uid="{00000000-0004-0000-0100-000065000000}"/>
    <hyperlink ref="D392" r:id="rId103" xr:uid="{00000000-0004-0000-0100-000066000000}"/>
    <hyperlink ref="C394" r:id="rId104" xr:uid="{00000000-0004-0000-0100-000067000000}"/>
    <hyperlink ref="C395" r:id="rId105" xr:uid="{00000000-0004-0000-0100-000068000000}"/>
    <hyperlink ref="C396" r:id="rId106" xr:uid="{00000000-0004-0000-0100-000069000000}"/>
    <hyperlink ref="C397" r:id="rId107" xr:uid="{00000000-0004-0000-0100-00006A000000}"/>
    <hyperlink ref="C398" r:id="rId108" xr:uid="{00000000-0004-0000-0100-00006B000000}"/>
    <hyperlink ref="C399" r:id="rId109" xr:uid="{00000000-0004-0000-0100-00006C000000}"/>
    <hyperlink ref="C400" r:id="rId110" xr:uid="{00000000-0004-0000-0100-00006D000000}"/>
    <hyperlink ref="C401" r:id="rId111" xr:uid="{00000000-0004-0000-0100-00006E000000}"/>
    <hyperlink ref="C402" r:id="rId112" xr:uid="{00000000-0004-0000-0100-00006F000000}"/>
    <hyperlink ref="C403" r:id="rId113" xr:uid="{00000000-0004-0000-0100-000070000000}"/>
    <hyperlink ref="D405" r:id="rId114" xr:uid="{00000000-0004-0000-0100-000071000000}"/>
    <hyperlink ref="A431" r:id="rId115" xr:uid="{00000000-0004-0000-0100-000072000000}"/>
    <hyperlink ref="D431" r:id="rId116" xr:uid="{00000000-0004-0000-0100-000073000000}"/>
    <hyperlink ref="C433" r:id="rId117" xr:uid="{00000000-0004-0000-0100-000074000000}"/>
    <hyperlink ref="C434" r:id="rId118" xr:uid="{00000000-0004-0000-0100-000075000000}"/>
    <hyperlink ref="C435" r:id="rId119" xr:uid="{00000000-0004-0000-0100-000076000000}"/>
    <hyperlink ref="C436" r:id="rId120" xr:uid="{00000000-0004-0000-0100-000077000000}"/>
    <hyperlink ref="C437" r:id="rId121" xr:uid="{00000000-0004-0000-0100-000078000000}"/>
    <hyperlink ref="C438" r:id="rId122" xr:uid="{00000000-0004-0000-0100-000079000000}"/>
    <hyperlink ref="C439" r:id="rId123" xr:uid="{00000000-0004-0000-0100-00007A000000}"/>
    <hyperlink ref="C440" r:id="rId124" xr:uid="{00000000-0004-0000-0100-00007B000000}"/>
    <hyperlink ref="C441" r:id="rId125" xr:uid="{00000000-0004-0000-0100-00007C000000}"/>
    <hyperlink ref="C442" r:id="rId126" xr:uid="{00000000-0004-0000-0100-00007D000000}"/>
    <hyperlink ref="D444" r:id="rId127" xr:uid="{00000000-0004-0000-0100-00007E000000}"/>
    <hyperlink ref="A457" r:id="rId128" xr:uid="{00000000-0004-0000-0100-00007F000000}"/>
    <hyperlink ref="D457" r:id="rId129" xr:uid="{00000000-0004-0000-0100-000080000000}"/>
    <hyperlink ref="C459" r:id="rId130" xr:uid="{00000000-0004-0000-0100-000081000000}"/>
    <hyperlink ref="C460" r:id="rId131" xr:uid="{00000000-0004-0000-0100-000082000000}"/>
    <hyperlink ref="C461" r:id="rId132" xr:uid="{00000000-0004-0000-0100-000083000000}"/>
    <hyperlink ref="C462" r:id="rId133" xr:uid="{00000000-0004-0000-0100-000084000000}"/>
    <hyperlink ref="C463" r:id="rId134" xr:uid="{00000000-0004-0000-0100-000085000000}"/>
    <hyperlink ref="C464" r:id="rId135" xr:uid="{00000000-0004-0000-0100-000086000000}"/>
    <hyperlink ref="C465" r:id="rId136" xr:uid="{00000000-0004-0000-0100-000087000000}"/>
    <hyperlink ref="C466" r:id="rId137" xr:uid="{00000000-0004-0000-0100-000088000000}"/>
    <hyperlink ref="C467" r:id="rId138" xr:uid="{00000000-0004-0000-0100-000089000000}"/>
    <hyperlink ref="C468" r:id="rId139" xr:uid="{00000000-0004-0000-0100-00008A000000}"/>
    <hyperlink ref="D470" r:id="rId140" xr:uid="{00000000-0004-0000-0100-00008B000000}"/>
    <hyperlink ref="A496" r:id="rId141" xr:uid="{00000000-0004-0000-0100-00008C000000}"/>
    <hyperlink ref="D496" r:id="rId142" xr:uid="{00000000-0004-0000-0100-00008D000000}"/>
    <hyperlink ref="C498" r:id="rId143" xr:uid="{00000000-0004-0000-0100-00008E000000}"/>
    <hyperlink ref="C499" r:id="rId144" xr:uid="{00000000-0004-0000-0100-00008F000000}"/>
    <hyperlink ref="C500" r:id="rId145" xr:uid="{00000000-0004-0000-0100-000090000000}"/>
    <hyperlink ref="C501" r:id="rId146" xr:uid="{00000000-0004-0000-0100-000091000000}"/>
    <hyperlink ref="C502" r:id="rId147" xr:uid="{00000000-0004-0000-0100-000092000000}"/>
    <hyperlink ref="C503" r:id="rId148" xr:uid="{00000000-0004-0000-0100-000093000000}"/>
    <hyperlink ref="C504" r:id="rId149" xr:uid="{00000000-0004-0000-0100-000094000000}"/>
    <hyperlink ref="C505" r:id="rId150" xr:uid="{00000000-0004-0000-0100-000095000000}"/>
    <hyperlink ref="C506" r:id="rId151" xr:uid="{00000000-0004-0000-0100-000096000000}"/>
    <hyperlink ref="C507" r:id="rId152" xr:uid="{00000000-0004-0000-0100-000097000000}"/>
    <hyperlink ref="A509" r:id="rId153" xr:uid="{00000000-0004-0000-0100-000098000000}"/>
    <hyperlink ref="D509" r:id="rId154" xr:uid="{00000000-0004-0000-0100-000099000000}"/>
    <hyperlink ref="C511" r:id="rId155" xr:uid="{00000000-0004-0000-0100-00009A000000}"/>
    <hyperlink ref="C512" r:id="rId156" xr:uid="{00000000-0004-0000-0100-00009B000000}"/>
    <hyperlink ref="C513" r:id="rId157" xr:uid="{00000000-0004-0000-0100-00009C000000}"/>
    <hyperlink ref="C514" r:id="rId158" xr:uid="{00000000-0004-0000-0100-00009D000000}"/>
    <hyperlink ref="C515" r:id="rId159" xr:uid="{00000000-0004-0000-0100-00009E000000}"/>
    <hyperlink ref="C516" r:id="rId160" xr:uid="{00000000-0004-0000-0100-00009F000000}"/>
    <hyperlink ref="C517" r:id="rId161" xr:uid="{00000000-0004-0000-0100-0000A0000000}"/>
    <hyperlink ref="C518" r:id="rId162" xr:uid="{00000000-0004-0000-0100-0000A1000000}"/>
    <hyperlink ref="C519" r:id="rId163" xr:uid="{00000000-0004-0000-0100-0000A2000000}"/>
    <hyperlink ref="C520" r:id="rId164" xr:uid="{00000000-0004-0000-0100-0000A3000000}"/>
    <hyperlink ref="D548" r:id="rId165" xr:uid="{00000000-0004-0000-0100-0000A4000000}"/>
    <hyperlink ref="A574" r:id="rId166" xr:uid="{00000000-0004-0000-0100-0000A5000000}"/>
    <hyperlink ref="D574" r:id="rId167" xr:uid="{00000000-0004-0000-0100-0000A6000000}"/>
    <hyperlink ref="C576" r:id="rId168" xr:uid="{00000000-0004-0000-0100-0000A7000000}"/>
    <hyperlink ref="C577" r:id="rId169" xr:uid="{00000000-0004-0000-0100-0000A8000000}"/>
    <hyperlink ref="C578" r:id="rId170" xr:uid="{00000000-0004-0000-0100-0000A9000000}"/>
    <hyperlink ref="C579" r:id="rId171" xr:uid="{00000000-0004-0000-0100-0000AA000000}"/>
    <hyperlink ref="C580" r:id="rId172" xr:uid="{00000000-0004-0000-0100-0000AB000000}"/>
    <hyperlink ref="C581" r:id="rId173" xr:uid="{00000000-0004-0000-0100-0000AC000000}"/>
    <hyperlink ref="C582" r:id="rId174" xr:uid="{00000000-0004-0000-0100-0000AD000000}"/>
    <hyperlink ref="C583" r:id="rId175" xr:uid="{00000000-0004-0000-0100-0000AE000000}"/>
    <hyperlink ref="C584" r:id="rId176" xr:uid="{00000000-0004-0000-0100-0000AF000000}"/>
    <hyperlink ref="C585" r:id="rId177" xr:uid="{00000000-0004-0000-0100-0000B0000000}"/>
    <hyperlink ref="A587" r:id="rId178" xr:uid="{00000000-0004-0000-0100-0000B1000000}"/>
    <hyperlink ref="D600" r:id="rId179" xr:uid="{00000000-0004-0000-0100-0000B2000000}"/>
    <hyperlink ref="A613" r:id="rId180" xr:uid="{00000000-0004-0000-0100-0000B3000000}"/>
    <hyperlink ref="D613" r:id="rId181" xr:uid="{00000000-0004-0000-0100-0000B4000000}"/>
    <hyperlink ref="C615" r:id="rId182" xr:uid="{00000000-0004-0000-0100-0000B5000000}"/>
    <hyperlink ref="C616" r:id="rId183" xr:uid="{00000000-0004-0000-0100-0000B6000000}"/>
    <hyperlink ref="C617" r:id="rId184" xr:uid="{00000000-0004-0000-0100-0000B7000000}"/>
    <hyperlink ref="C618" r:id="rId185" xr:uid="{00000000-0004-0000-0100-0000B8000000}"/>
    <hyperlink ref="C619" r:id="rId186" xr:uid="{00000000-0004-0000-0100-0000B9000000}"/>
    <hyperlink ref="C620" r:id="rId187" xr:uid="{00000000-0004-0000-0100-0000BA000000}"/>
    <hyperlink ref="C621" r:id="rId188" xr:uid="{00000000-0004-0000-0100-0000BB000000}"/>
    <hyperlink ref="C622" r:id="rId189" xr:uid="{00000000-0004-0000-0100-0000BC000000}"/>
    <hyperlink ref="C623" r:id="rId190" xr:uid="{00000000-0004-0000-0100-0000BD000000}"/>
    <hyperlink ref="C624" r:id="rId191" xr:uid="{00000000-0004-0000-0100-0000BE000000}"/>
    <hyperlink ref="A626" r:id="rId192" xr:uid="{00000000-0004-0000-0100-0000BF000000}"/>
    <hyperlink ref="D639" r:id="rId193" xr:uid="{00000000-0004-0000-0100-0000C0000000}"/>
    <hyperlink ref="D704" r:id="rId194" xr:uid="{00000000-0004-0000-0100-0000C1000000}"/>
    <hyperlink ref="A717" r:id="rId195" xr:uid="{00000000-0004-0000-0100-0000C2000000}"/>
    <hyperlink ref="D717" r:id="rId196" xr:uid="{00000000-0004-0000-0100-0000C3000000}"/>
    <hyperlink ref="C719" r:id="rId197" xr:uid="{00000000-0004-0000-0100-0000C4000000}"/>
    <hyperlink ref="C720" r:id="rId198" xr:uid="{00000000-0004-0000-0100-0000C5000000}"/>
    <hyperlink ref="C721" r:id="rId199" xr:uid="{00000000-0004-0000-0100-0000C6000000}"/>
    <hyperlink ref="C722" r:id="rId200" xr:uid="{00000000-0004-0000-0100-0000C7000000}"/>
    <hyperlink ref="C723" r:id="rId201" xr:uid="{00000000-0004-0000-0100-0000C8000000}"/>
    <hyperlink ref="C724" r:id="rId202" xr:uid="{00000000-0004-0000-0100-0000C9000000}"/>
    <hyperlink ref="C725" r:id="rId203" xr:uid="{00000000-0004-0000-0100-0000CA000000}"/>
    <hyperlink ref="C726" r:id="rId204" xr:uid="{00000000-0004-0000-0100-0000CB000000}"/>
    <hyperlink ref="C727" r:id="rId205" xr:uid="{00000000-0004-0000-0100-0000CC000000}"/>
    <hyperlink ref="C728" r:id="rId206" xr:uid="{00000000-0004-0000-0100-0000CD000000}"/>
    <hyperlink ref="A730" r:id="rId207" xr:uid="{00000000-0004-0000-0100-0000CE000000}"/>
    <hyperlink ref="D730" r:id="rId208" xr:uid="{00000000-0004-0000-0100-0000CF000000}"/>
    <hyperlink ref="C732" r:id="rId209" xr:uid="{00000000-0004-0000-0100-0000D0000000}"/>
    <hyperlink ref="C733" r:id="rId210" xr:uid="{00000000-0004-0000-0100-0000D1000000}"/>
    <hyperlink ref="C734" r:id="rId211" xr:uid="{00000000-0004-0000-0100-0000D2000000}"/>
    <hyperlink ref="C735" r:id="rId212" xr:uid="{00000000-0004-0000-0100-0000D3000000}"/>
    <hyperlink ref="C736" r:id="rId213" xr:uid="{00000000-0004-0000-0100-0000D4000000}"/>
    <hyperlink ref="C737" r:id="rId214" xr:uid="{00000000-0004-0000-0100-0000D5000000}"/>
    <hyperlink ref="C738" r:id="rId215" xr:uid="{00000000-0004-0000-0100-0000D6000000}"/>
    <hyperlink ref="C739" r:id="rId216" xr:uid="{00000000-0004-0000-0100-0000D7000000}"/>
    <hyperlink ref="C740" r:id="rId217" xr:uid="{00000000-0004-0000-0100-0000D8000000}"/>
    <hyperlink ref="C741" r:id="rId218" xr:uid="{00000000-0004-0000-0100-0000D9000000}"/>
    <hyperlink ref="A743" r:id="rId219" xr:uid="{00000000-0004-0000-0100-0000DA000000}"/>
    <hyperlink ref="D756" r:id="rId220" xr:uid="{00000000-0004-0000-0100-0000DB000000}"/>
    <hyperlink ref="A769" r:id="rId221" xr:uid="{00000000-0004-0000-0100-0000DC000000}"/>
    <hyperlink ref="D769" r:id="rId222" xr:uid="{00000000-0004-0000-0100-0000DD000000}"/>
    <hyperlink ref="C778" r:id="rId223" xr:uid="{00000000-0004-0000-0100-0000DE000000}"/>
    <hyperlink ref="C780" r:id="rId224" xr:uid="{00000000-0004-0000-0100-0000DF000000}"/>
    <hyperlink ref="A782" r:id="rId225" xr:uid="{00000000-0004-0000-0100-0000E0000000}"/>
    <hyperlink ref="D795" r:id="rId226" xr:uid="{00000000-0004-0000-0100-0000E1000000}"/>
    <hyperlink ref="D808" r:id="rId227" xr:uid="{00000000-0004-0000-0100-0000E2000000}"/>
    <hyperlink ref="A834" r:id="rId228" xr:uid="{00000000-0004-0000-0100-0000E3000000}"/>
    <hyperlink ref="D847" r:id="rId229" xr:uid="{00000000-0004-0000-0100-0000E4000000}"/>
    <hyperlink ref="A860" r:id="rId230" xr:uid="{00000000-0004-0000-0100-0000E5000000}"/>
    <hyperlink ref="D860" r:id="rId231" xr:uid="{00000000-0004-0000-0100-0000E6000000}"/>
    <hyperlink ref="C862" r:id="rId232" xr:uid="{00000000-0004-0000-0100-0000E7000000}"/>
    <hyperlink ref="C863" r:id="rId233" xr:uid="{00000000-0004-0000-0100-0000E8000000}"/>
    <hyperlink ref="C864" r:id="rId234" xr:uid="{00000000-0004-0000-0100-0000E9000000}"/>
    <hyperlink ref="C865" r:id="rId235" xr:uid="{00000000-0004-0000-0100-0000EA000000}"/>
    <hyperlink ref="C866" r:id="rId236" xr:uid="{00000000-0004-0000-0100-0000EB000000}"/>
    <hyperlink ref="C867" r:id="rId237" xr:uid="{00000000-0004-0000-0100-0000EC000000}"/>
    <hyperlink ref="C868" r:id="rId238" xr:uid="{00000000-0004-0000-0100-0000ED000000}"/>
    <hyperlink ref="C869" r:id="rId239" xr:uid="{00000000-0004-0000-0100-0000EE000000}"/>
    <hyperlink ref="C870" r:id="rId240" xr:uid="{00000000-0004-0000-0100-0000EF000000}"/>
    <hyperlink ref="C871" r:id="rId241" xr:uid="{00000000-0004-0000-0100-0000F0000000}"/>
    <hyperlink ref="A873" r:id="rId242" xr:uid="{00000000-0004-0000-0100-0000F1000000}"/>
    <hyperlink ref="D873" r:id="rId243" xr:uid="{00000000-0004-0000-0100-0000F2000000}"/>
    <hyperlink ref="C875" r:id="rId244" xr:uid="{00000000-0004-0000-0100-0000F3000000}"/>
    <hyperlink ref="C876" r:id="rId245" xr:uid="{00000000-0004-0000-0100-0000F4000000}"/>
    <hyperlink ref="C877" r:id="rId246" xr:uid="{00000000-0004-0000-0100-0000F5000000}"/>
    <hyperlink ref="C878" r:id="rId247" xr:uid="{00000000-0004-0000-0100-0000F6000000}"/>
    <hyperlink ref="C879" r:id="rId248" xr:uid="{00000000-0004-0000-0100-0000F7000000}"/>
    <hyperlink ref="C880" r:id="rId249" xr:uid="{00000000-0004-0000-0100-0000F8000000}"/>
    <hyperlink ref="C881" r:id="rId250" xr:uid="{00000000-0004-0000-0100-0000F9000000}"/>
    <hyperlink ref="C882" r:id="rId251" xr:uid="{00000000-0004-0000-0100-0000FA000000}"/>
    <hyperlink ref="C883" r:id="rId252" xr:uid="{00000000-0004-0000-0100-0000FB000000}"/>
    <hyperlink ref="C884" r:id="rId253" xr:uid="{00000000-0004-0000-0100-0000FC000000}"/>
    <hyperlink ref="D886" r:id="rId254" xr:uid="{00000000-0004-0000-0100-0000FD000000}"/>
    <hyperlink ref="A899" r:id="rId255" xr:uid="{00000000-0004-0000-0100-0000FE000000}"/>
    <hyperlink ref="D899" r:id="rId256" xr:uid="{00000000-0004-0000-0100-0000FF000000}"/>
    <hyperlink ref="C901" r:id="rId257" xr:uid="{00000000-0004-0000-0100-000000010000}"/>
    <hyperlink ref="C902" r:id="rId258" xr:uid="{00000000-0004-0000-0100-000001010000}"/>
    <hyperlink ref="C903" r:id="rId259" xr:uid="{00000000-0004-0000-0100-000002010000}"/>
    <hyperlink ref="C904" r:id="rId260" xr:uid="{00000000-0004-0000-0100-000003010000}"/>
    <hyperlink ref="C905" r:id="rId261" xr:uid="{00000000-0004-0000-0100-000004010000}"/>
    <hyperlink ref="C906" r:id="rId262" xr:uid="{00000000-0004-0000-0100-000005010000}"/>
    <hyperlink ref="C908" r:id="rId263" xr:uid="{00000000-0004-0000-0100-000006010000}"/>
    <hyperlink ref="C909" r:id="rId264" xr:uid="{00000000-0004-0000-0100-000007010000}"/>
    <hyperlink ref="C910" r:id="rId265" xr:uid="{00000000-0004-0000-0100-000008010000}"/>
    <hyperlink ref="D925" r:id="rId266" xr:uid="{00000000-0004-0000-0100-000009010000}"/>
    <hyperlink ref="D938" r:id="rId267" xr:uid="{00000000-0004-0000-0100-00000A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14"/>
  <sheetViews>
    <sheetView topLeftCell="A642" workbookViewId="0">
      <selection activeCell="A663" sqref="A663"/>
    </sheetView>
  </sheetViews>
  <sheetFormatPr defaultColWidth="12.5703125" defaultRowHeight="15.75" customHeight="1"/>
  <cols>
    <col min="1" max="1" width="57.28515625" customWidth="1"/>
    <col min="3" max="3" width="49.42578125" customWidth="1"/>
  </cols>
  <sheetData>
    <row r="1" spans="1:4" ht="12.75">
      <c r="A1" s="155"/>
      <c r="B1" s="156"/>
      <c r="C1" s="156"/>
      <c r="D1" s="156"/>
    </row>
    <row r="2" spans="1:4" ht="18">
      <c r="A2" s="22" t="str">
        <f>HYPERLINK("https://www.reddit.com/r/indieheads/comments/6o13am/top_ten_tuesday_galaxie_500/","Galaxie 500")</f>
        <v>Galaxie 500</v>
      </c>
      <c r="B2" s="30">
        <v>42934</v>
      </c>
      <c r="C2" s="24"/>
      <c r="D2" s="24"/>
    </row>
    <row r="3" spans="1:4" ht="12.75">
      <c r="A3" s="26" t="s">
        <v>2</v>
      </c>
      <c r="B3" s="26" t="s">
        <v>3</v>
      </c>
      <c r="C3" s="26" t="s">
        <v>4</v>
      </c>
      <c r="D3" s="26" t="s">
        <v>5</v>
      </c>
    </row>
    <row r="4" spans="1:4" ht="12.75">
      <c r="A4" s="7" t="s">
        <v>1478</v>
      </c>
      <c r="B4" s="8">
        <v>113</v>
      </c>
      <c r="C4" s="9" t="str">
        <f>HYPERLINK("https://en.wikipedia.org/wiki/On_Fire_(Galaxie_500_album)","On Fire")</f>
        <v>On Fire</v>
      </c>
      <c r="D4" s="7">
        <v>1989</v>
      </c>
    </row>
    <row r="5" spans="1:4" ht="12.75">
      <c r="A5" s="27" t="s">
        <v>1479</v>
      </c>
      <c r="B5" s="28">
        <v>104</v>
      </c>
      <c r="C5" s="29" t="str">
        <f>HYPERLINK("https://en.wikipedia.org/wiki/Today_(Galaxie_500_album)","Today")</f>
        <v>Today</v>
      </c>
      <c r="D5" s="27">
        <v>1988</v>
      </c>
    </row>
    <row r="6" spans="1:4" ht="12.75">
      <c r="A6" s="7" t="s">
        <v>1480</v>
      </c>
      <c r="B6" s="8">
        <v>84</v>
      </c>
      <c r="C6" s="9" t="str">
        <f t="shared" ref="C6:C7" si="0">HYPERLINK("https://en.wikipedia.org/wiki/On_Fire_(Galaxie_500_album)","On Fire")</f>
        <v>On Fire</v>
      </c>
      <c r="D6" s="7">
        <v>1989</v>
      </c>
    </row>
    <row r="7" spans="1:4" ht="12.75">
      <c r="A7" s="27" t="s">
        <v>1481</v>
      </c>
      <c r="B7" s="28">
        <v>74</v>
      </c>
      <c r="C7" s="29" t="str">
        <f t="shared" si="0"/>
        <v>On Fire</v>
      </c>
      <c r="D7" s="27">
        <v>1989</v>
      </c>
    </row>
    <row r="8" spans="1:4" ht="12.75">
      <c r="A8" s="7" t="s">
        <v>1482</v>
      </c>
      <c r="B8" s="8">
        <v>70</v>
      </c>
      <c r="C8" s="9" t="str">
        <f>HYPERLINK("https://en.wikipedia.org/wiki/This_Is_Our_Music_(Galaxie_500_album)","This Is Our Music")</f>
        <v>This Is Our Music</v>
      </c>
      <c r="D8" s="7">
        <v>1990</v>
      </c>
    </row>
    <row r="9" spans="1:4" ht="12.75">
      <c r="A9" s="27" t="s">
        <v>1483</v>
      </c>
      <c r="B9" s="28">
        <v>51</v>
      </c>
      <c r="C9" s="29" t="str">
        <f t="shared" ref="C9:C10" si="1">HYPERLINK("https://en.wikipedia.org/wiki/On_Fire_(Galaxie_500_album)","On Fire")</f>
        <v>On Fire</v>
      </c>
      <c r="D9" s="27">
        <v>1989</v>
      </c>
    </row>
    <row r="10" spans="1:4" ht="12.75">
      <c r="A10" s="7" t="s">
        <v>1484</v>
      </c>
      <c r="B10" s="8">
        <v>50</v>
      </c>
      <c r="C10" s="9" t="str">
        <f t="shared" si="1"/>
        <v>On Fire</v>
      </c>
      <c r="D10" s="7">
        <v>1989</v>
      </c>
    </row>
    <row r="11" spans="1:4" ht="12.75">
      <c r="A11" s="27" t="s">
        <v>1485</v>
      </c>
      <c r="B11" s="28">
        <v>41</v>
      </c>
      <c r="C11" s="27" t="s">
        <v>1486</v>
      </c>
      <c r="D11" s="27">
        <v>1989</v>
      </c>
    </row>
    <row r="12" spans="1:4" ht="12.75">
      <c r="A12" s="7" t="s">
        <v>1487</v>
      </c>
      <c r="B12" s="8">
        <v>33</v>
      </c>
      <c r="C12" s="9" t="str">
        <f>HYPERLINK("https://en.wikipedia.org/wiki/Today_(Galaxie_500_album)","Today")</f>
        <v>Today</v>
      </c>
      <c r="D12" s="7">
        <v>1988</v>
      </c>
    </row>
    <row r="13" spans="1:4" ht="12.75">
      <c r="A13" s="27" t="s">
        <v>1488</v>
      </c>
      <c r="B13" s="28">
        <v>32</v>
      </c>
      <c r="C13" s="29" t="str">
        <f>HYPERLINK("https://en.wikipedia.org/wiki/On_Fire_(Galaxie_500_album)","On Fire")</f>
        <v>On Fire</v>
      </c>
      <c r="D13" s="27">
        <v>1989</v>
      </c>
    </row>
    <row r="14" spans="1:4" ht="12.75">
      <c r="A14" s="152"/>
      <c r="B14" s="153"/>
      <c r="C14" s="153"/>
      <c r="D14" s="154"/>
    </row>
    <row r="15" spans="1:4" ht="18">
      <c r="A15" s="22" t="str">
        <f>HYPERLINK("https://www.reddit.com/r/indieheads/comments/cw2tn0/top_ten_tuesday_the_gaslight_anthem/","The Gaslight Anthem")</f>
        <v>The Gaslight Anthem</v>
      </c>
      <c r="B15" s="30">
        <v>43704</v>
      </c>
      <c r="C15" s="24"/>
      <c r="D15" s="32" t="s">
        <v>1</v>
      </c>
    </row>
    <row r="16" spans="1:4" ht="12.75">
      <c r="A16" s="26" t="s">
        <v>2</v>
      </c>
      <c r="B16" s="26" t="s">
        <v>3</v>
      </c>
      <c r="C16" s="26" t="s">
        <v>4</v>
      </c>
      <c r="D16" s="26" t="s">
        <v>5</v>
      </c>
    </row>
    <row r="17" spans="1:4" ht="12.75">
      <c r="A17" s="7" t="s">
        <v>1489</v>
      </c>
      <c r="B17" s="8">
        <v>218</v>
      </c>
      <c r="C17" s="9" t="str">
        <f t="shared" ref="C17:C19" si="2">HYPERLINK("https://en.wikipedia.org/wiki/The_%2759_Sound","The '59 Sound")</f>
        <v>The '59 Sound</v>
      </c>
      <c r="D17" s="7">
        <v>2008</v>
      </c>
    </row>
    <row r="18" spans="1:4" ht="12.75">
      <c r="A18" s="27" t="s">
        <v>1183</v>
      </c>
      <c r="B18" s="28">
        <v>169</v>
      </c>
      <c r="C18" s="29" t="str">
        <f t="shared" si="2"/>
        <v>The '59 Sound</v>
      </c>
      <c r="D18" s="27">
        <v>2008</v>
      </c>
    </row>
    <row r="19" spans="1:4" ht="12.75">
      <c r="A19" s="7" t="s">
        <v>1490</v>
      </c>
      <c r="B19" s="8">
        <v>122</v>
      </c>
      <c r="C19" s="9" t="str">
        <f t="shared" si="2"/>
        <v>The '59 Sound</v>
      </c>
      <c r="D19" s="7">
        <v>2008</v>
      </c>
    </row>
    <row r="20" spans="1:4" ht="12.75">
      <c r="A20" s="27" t="s">
        <v>1491</v>
      </c>
      <c r="B20" s="28">
        <v>110</v>
      </c>
      <c r="C20" s="68" t="str">
        <f>HYPERLINK("https://en.wikipedia.org/wiki/Se%C3%B1or_and_the_Queen","Señor and the Queen")</f>
        <v>Señor and the Queen</v>
      </c>
      <c r="D20" s="27">
        <v>2008</v>
      </c>
    </row>
    <row r="21" spans="1:4" ht="12.75">
      <c r="A21" s="7" t="s">
        <v>1492</v>
      </c>
      <c r="B21" s="8">
        <v>105</v>
      </c>
      <c r="C21" s="9" t="str">
        <f>HYPERLINK("https://en.wikipedia.org/wiki/The_%2759_Sound","The '59 Sound")</f>
        <v>The '59 Sound</v>
      </c>
      <c r="D21" s="7">
        <v>2008</v>
      </c>
    </row>
    <row r="22" spans="1:4" ht="12.75">
      <c r="A22" s="27" t="s">
        <v>1493</v>
      </c>
      <c r="B22" s="28">
        <v>98</v>
      </c>
      <c r="C22" s="29" t="str">
        <f>HYPERLINK("https://en.wikipedia.org/wiki/Handwritten_(The_Gaslight_Anthem_album)","Handwritten")</f>
        <v>Handwritten</v>
      </c>
      <c r="D22" s="27">
        <v>2012</v>
      </c>
    </row>
    <row r="23" spans="1:4" ht="12.75">
      <c r="A23" s="40">
        <v>1930</v>
      </c>
      <c r="B23" s="8">
        <v>92</v>
      </c>
      <c r="C23" s="9" t="str">
        <f>HYPERLINK("https://en.wikipedia.org/wiki/Sink_or_Swim_(The_Gaslight_Anthem_album)","Sink or Swim")</f>
        <v>Sink or Swim</v>
      </c>
      <c r="D23" s="7">
        <v>2007</v>
      </c>
    </row>
    <row r="24" spans="1:4" ht="12.75">
      <c r="A24" s="27" t="s">
        <v>1494</v>
      </c>
      <c r="B24" s="28">
        <v>87</v>
      </c>
      <c r="C24" s="29" t="str">
        <f>HYPERLINK("https://en.wikipedia.org/wiki/The_%2759_Sound","The '59 Sound")</f>
        <v>The '59 Sound</v>
      </c>
      <c r="D24" s="27">
        <v>2008</v>
      </c>
    </row>
    <row r="25" spans="1:4" ht="12.75">
      <c r="A25" s="7" t="s">
        <v>1495</v>
      </c>
      <c r="B25" s="8">
        <v>77</v>
      </c>
      <c r="C25" s="9" t="str">
        <f>HYPERLINK("https://en.wikipedia.org/wiki/Handwritten_(The_Gaslight_Anthem_album)","Handwritten")</f>
        <v>Handwritten</v>
      </c>
      <c r="D25" s="7">
        <v>2012</v>
      </c>
    </row>
    <row r="26" spans="1:4" ht="12.75">
      <c r="A26" s="27" t="s">
        <v>1496</v>
      </c>
      <c r="B26" s="28">
        <v>73</v>
      </c>
      <c r="C26" s="29" t="str">
        <f>HYPERLINK("https://en.wikipedia.org/wiki/The_%2759_Sound","The '59 Sound")</f>
        <v>The '59 Sound</v>
      </c>
      <c r="D26" s="27">
        <v>2008</v>
      </c>
    </row>
    <row r="27" spans="1:4" ht="12.75">
      <c r="A27" s="152"/>
      <c r="B27" s="153"/>
      <c r="C27" s="153"/>
      <c r="D27" s="154"/>
    </row>
    <row r="28" spans="1:4" ht="18">
      <c r="A28" s="13" t="s">
        <v>1497</v>
      </c>
      <c r="B28" s="14">
        <v>44901</v>
      </c>
      <c r="C28" s="15"/>
      <c r="D28" s="15"/>
    </row>
    <row r="29" spans="1:4" ht="12.75">
      <c r="A29" s="15" t="s">
        <v>2</v>
      </c>
      <c r="B29" s="15" t="s">
        <v>3</v>
      </c>
      <c r="C29" s="15" t="s">
        <v>4</v>
      </c>
      <c r="D29" s="15" t="s">
        <v>5</v>
      </c>
    </row>
    <row r="30" spans="1:4" ht="12.75">
      <c r="A30" s="16" t="s">
        <v>1498</v>
      </c>
      <c r="B30" s="16">
        <v>83</v>
      </c>
      <c r="C30" s="16" t="s">
        <v>1499</v>
      </c>
      <c r="D30" s="16">
        <v>1970</v>
      </c>
    </row>
    <row r="31" spans="1:4" ht="12.75">
      <c r="A31" s="17" t="s">
        <v>1500</v>
      </c>
      <c r="B31" s="17">
        <v>74</v>
      </c>
      <c r="C31" s="17" t="s">
        <v>1499</v>
      </c>
      <c r="D31" s="17">
        <v>1970</v>
      </c>
    </row>
    <row r="32" spans="1:4" ht="12.75">
      <c r="A32" s="16" t="s">
        <v>1501</v>
      </c>
      <c r="B32" s="16">
        <v>61</v>
      </c>
      <c r="C32" s="16" t="s">
        <v>1499</v>
      </c>
      <c r="D32" s="16">
        <v>1970</v>
      </c>
    </row>
    <row r="33" spans="1:4" ht="12.75">
      <c r="A33" s="17" t="s">
        <v>1502</v>
      </c>
      <c r="B33" s="17">
        <v>58</v>
      </c>
      <c r="C33" s="17" t="s">
        <v>1499</v>
      </c>
      <c r="D33" s="17">
        <v>1970</v>
      </c>
    </row>
    <row r="34" spans="1:4" ht="12.75">
      <c r="A34" s="16" t="s">
        <v>1499</v>
      </c>
      <c r="B34" s="16">
        <v>57</v>
      </c>
      <c r="C34" s="16" t="s">
        <v>1499</v>
      </c>
      <c r="D34" s="16">
        <v>1970</v>
      </c>
    </row>
    <row r="35" spans="1:4" ht="12.75">
      <c r="A35" s="17" t="s">
        <v>1503</v>
      </c>
      <c r="B35" s="17">
        <v>42</v>
      </c>
      <c r="C35" s="17" t="s">
        <v>1499</v>
      </c>
      <c r="D35" s="17">
        <v>1970</v>
      </c>
    </row>
    <row r="36" spans="1:4" ht="12.75">
      <c r="A36" s="16" t="s">
        <v>1504</v>
      </c>
      <c r="B36" s="16">
        <v>42</v>
      </c>
      <c r="C36" s="16" t="s">
        <v>1505</v>
      </c>
      <c r="D36" s="16">
        <v>1973</v>
      </c>
    </row>
    <row r="37" spans="1:4" ht="12.75">
      <c r="A37" s="17" t="s">
        <v>1506</v>
      </c>
      <c r="B37" s="17">
        <v>31</v>
      </c>
      <c r="C37" s="17" t="s">
        <v>1499</v>
      </c>
      <c r="D37" s="17">
        <v>1970</v>
      </c>
    </row>
    <row r="38" spans="1:4" ht="12.75">
      <c r="A38" s="16" t="s">
        <v>1507</v>
      </c>
      <c r="B38" s="16">
        <v>28</v>
      </c>
      <c r="C38" s="16" t="s">
        <v>1499</v>
      </c>
      <c r="D38" s="16">
        <v>1970</v>
      </c>
    </row>
    <row r="39" spans="1:4" ht="12.75">
      <c r="A39" s="17" t="s">
        <v>1508</v>
      </c>
      <c r="B39" s="17">
        <v>28</v>
      </c>
      <c r="C39" s="17" t="s">
        <v>1499</v>
      </c>
      <c r="D39" s="17">
        <v>1970</v>
      </c>
    </row>
    <row r="40" spans="1:4" ht="12.75">
      <c r="A40" s="155"/>
      <c r="B40" s="156"/>
      <c r="C40" s="156"/>
      <c r="D40" s="156"/>
    </row>
    <row r="41" spans="1:4" ht="18">
      <c r="A41" s="22" t="str">
        <f>HYPERLINK("https://www.reddit.com/r/indieheads/comments/btzthb/top_ten_tuesday_girls/","Girls")</f>
        <v>Girls</v>
      </c>
      <c r="B41" s="30">
        <v>43613</v>
      </c>
      <c r="C41" s="24"/>
      <c r="D41" s="32" t="s">
        <v>1</v>
      </c>
    </row>
    <row r="42" spans="1:4" ht="12.75">
      <c r="A42" s="26" t="s">
        <v>2</v>
      </c>
      <c r="B42" s="26" t="s">
        <v>3</v>
      </c>
      <c r="C42" s="26" t="s">
        <v>4</v>
      </c>
      <c r="D42" s="26" t="s">
        <v>5</v>
      </c>
    </row>
    <row r="43" spans="1:4" ht="12.75">
      <c r="A43" s="7" t="s">
        <v>1509</v>
      </c>
      <c r="B43" s="8">
        <v>93</v>
      </c>
      <c r="C43" s="9" t="str">
        <f t="shared" ref="C43:C44" si="3">HYPERLINK("https://en.wikipedia.org/wiki/Album_(Girls_album)","Album")</f>
        <v>Album</v>
      </c>
      <c r="D43" s="7">
        <v>2009</v>
      </c>
    </row>
    <row r="44" spans="1:4" ht="12.75">
      <c r="A44" s="27" t="s">
        <v>1510</v>
      </c>
      <c r="B44" s="28">
        <v>92</v>
      </c>
      <c r="C44" s="29" t="str">
        <f t="shared" si="3"/>
        <v>Album</v>
      </c>
      <c r="D44" s="27">
        <v>2009</v>
      </c>
    </row>
    <row r="45" spans="1:4" ht="12.75">
      <c r="A45" s="7" t="s">
        <v>1511</v>
      </c>
      <c r="B45" s="8">
        <v>84</v>
      </c>
      <c r="C45" s="9" t="str">
        <f>HYPERLINK("https://en.wikipedia.org/wiki/Father,_Son,_Holy_Ghost_(album)","Father, Son, Holy Ghost")</f>
        <v>Father, Son, Holy Ghost</v>
      </c>
      <c r="D45" s="7">
        <v>2011</v>
      </c>
    </row>
    <row r="46" spans="1:4" ht="12.75">
      <c r="A46" s="27" t="s">
        <v>241</v>
      </c>
      <c r="B46" s="28">
        <v>72</v>
      </c>
      <c r="C46" s="29" t="str">
        <f>HYPERLINK("https://en.wikipedia.org/wiki/Album_(Girls_album)","Album")</f>
        <v>Album</v>
      </c>
      <c r="D46" s="27">
        <v>2009</v>
      </c>
    </row>
    <row r="47" spans="1:4" ht="12.75">
      <c r="A47" s="7" t="s">
        <v>1512</v>
      </c>
      <c r="B47" s="8">
        <v>70</v>
      </c>
      <c r="C47" s="9" t="str">
        <f>HYPERLINK("https://en.wikipedia.org/wiki/Father,_Son,_Holy_Ghost_(album)","Father, Son, Holy Ghost")</f>
        <v>Father, Son, Holy Ghost</v>
      </c>
      <c r="D47" s="7">
        <v>2011</v>
      </c>
    </row>
    <row r="48" spans="1:4" ht="12.75">
      <c r="A48" s="132" t="s">
        <v>3969</v>
      </c>
      <c r="B48" s="28">
        <v>49</v>
      </c>
      <c r="C48" s="29" t="str">
        <f t="shared" ref="C48:C49" si="4">HYPERLINK("https://en.wikipedia.org/wiki/Broken_Dreams_Club","Broken Dreams Club")</f>
        <v>Broken Dreams Club</v>
      </c>
      <c r="D48" s="27">
        <v>2010</v>
      </c>
    </row>
    <row r="49" spans="1:4" ht="12.75">
      <c r="A49" s="7" t="s">
        <v>1513</v>
      </c>
      <c r="B49" s="8">
        <v>48</v>
      </c>
      <c r="C49" s="9" t="str">
        <f t="shared" si="4"/>
        <v>Broken Dreams Club</v>
      </c>
      <c r="D49" s="7">
        <v>2010</v>
      </c>
    </row>
    <row r="50" spans="1:4" ht="12.75">
      <c r="A50" s="27" t="s">
        <v>1514</v>
      </c>
      <c r="B50" s="28">
        <v>42</v>
      </c>
      <c r="C50" s="29" t="str">
        <f>HYPERLINK("https://en.wikipedia.org/wiki/Father,_Son,_Holy_Ghost_(album)","Father, Son, Holy Ghost")</f>
        <v>Father, Son, Holy Ghost</v>
      </c>
      <c r="D50" s="27">
        <v>2011</v>
      </c>
    </row>
    <row r="51" spans="1:4" ht="12.75">
      <c r="A51" s="7" t="s">
        <v>1515</v>
      </c>
      <c r="B51" s="8">
        <v>37</v>
      </c>
      <c r="C51" s="9" t="str">
        <f t="shared" ref="C51:C52" si="5">HYPERLINK("https://en.wikipedia.org/wiki/Broken_Dreams_Club","Broken Dreams Club")</f>
        <v>Broken Dreams Club</v>
      </c>
      <c r="D51" s="7">
        <v>2010</v>
      </c>
    </row>
    <row r="52" spans="1:4" ht="12.75">
      <c r="A52" s="27" t="s">
        <v>1516</v>
      </c>
      <c r="B52" s="28">
        <v>35</v>
      </c>
      <c r="C52" s="29" t="str">
        <f t="shared" si="5"/>
        <v>Broken Dreams Club</v>
      </c>
      <c r="D52" s="27">
        <v>2010</v>
      </c>
    </row>
    <row r="53" spans="1:4" ht="12.75">
      <c r="A53" s="152"/>
      <c r="B53" s="153"/>
      <c r="C53" s="153"/>
      <c r="D53" s="154"/>
    </row>
    <row r="54" spans="1:4" ht="18">
      <c r="A54" s="22" t="s">
        <v>1517</v>
      </c>
      <c r="B54" s="43">
        <v>44544</v>
      </c>
      <c r="C54" s="24"/>
      <c r="D54" s="32" t="s">
        <v>1</v>
      </c>
    </row>
    <row r="55" spans="1:4" ht="12.75">
      <c r="A55" s="26" t="s">
        <v>2</v>
      </c>
      <c r="B55" s="26" t="s">
        <v>3</v>
      </c>
      <c r="C55" s="26" t="s">
        <v>4</v>
      </c>
      <c r="D55" s="26" t="s">
        <v>5</v>
      </c>
    </row>
    <row r="56" spans="1:4" ht="12.75">
      <c r="A56" s="7" t="s">
        <v>1518</v>
      </c>
      <c r="B56" s="8">
        <v>170</v>
      </c>
      <c r="C56" s="9" t="s">
        <v>1519</v>
      </c>
      <c r="D56" s="7">
        <v>2016</v>
      </c>
    </row>
    <row r="57" spans="1:4" ht="12.75">
      <c r="A57" s="27" t="s">
        <v>1520</v>
      </c>
      <c r="B57" s="28">
        <v>139</v>
      </c>
      <c r="C57" s="29" t="s">
        <v>1519</v>
      </c>
      <c r="D57" s="27">
        <v>2016</v>
      </c>
    </row>
    <row r="58" spans="1:4" ht="12.75">
      <c r="A58" s="7" t="s">
        <v>1521</v>
      </c>
      <c r="B58" s="8">
        <v>127</v>
      </c>
      <c r="C58" s="9" t="s">
        <v>1522</v>
      </c>
      <c r="D58" s="7">
        <v>2014</v>
      </c>
    </row>
    <row r="59" spans="1:4" ht="12.75">
      <c r="A59" s="27" t="s">
        <v>1523</v>
      </c>
      <c r="B59" s="28">
        <v>126</v>
      </c>
      <c r="C59" s="29" t="s">
        <v>1522</v>
      </c>
      <c r="D59" s="27">
        <v>2014</v>
      </c>
    </row>
    <row r="60" spans="1:4" ht="12.75">
      <c r="A60" s="7" t="s">
        <v>1524</v>
      </c>
      <c r="B60" s="8">
        <v>113</v>
      </c>
      <c r="C60" s="9" t="s">
        <v>1522</v>
      </c>
      <c r="D60" s="7">
        <v>2014</v>
      </c>
    </row>
    <row r="61" spans="1:4" ht="12.75">
      <c r="A61" s="27" t="s">
        <v>1525</v>
      </c>
      <c r="B61" s="28">
        <v>107</v>
      </c>
      <c r="C61" s="29" t="s">
        <v>1519</v>
      </c>
      <c r="D61" s="27">
        <v>2016</v>
      </c>
    </row>
    <row r="62" spans="1:4" ht="12.75">
      <c r="A62" s="7" t="s">
        <v>1526</v>
      </c>
      <c r="B62" s="8">
        <v>90</v>
      </c>
      <c r="C62" s="9" t="s">
        <v>1519</v>
      </c>
      <c r="D62" s="7">
        <v>2016</v>
      </c>
    </row>
    <row r="63" spans="1:4" ht="12.75">
      <c r="A63" s="27" t="s">
        <v>1527</v>
      </c>
      <c r="B63" s="28">
        <v>82</v>
      </c>
      <c r="C63" s="29" t="s">
        <v>1519</v>
      </c>
      <c r="D63" s="27">
        <v>2016</v>
      </c>
    </row>
    <row r="64" spans="1:4" ht="12.75">
      <c r="A64" s="7" t="s">
        <v>1528</v>
      </c>
      <c r="B64" s="8">
        <v>79</v>
      </c>
      <c r="C64" s="9" t="s">
        <v>1522</v>
      </c>
      <c r="D64" s="7">
        <v>2014</v>
      </c>
    </row>
    <row r="65" spans="1:4" ht="12.75">
      <c r="A65" s="27" t="s">
        <v>1529</v>
      </c>
      <c r="B65" s="28">
        <v>64</v>
      </c>
      <c r="C65" s="29" t="s">
        <v>1519</v>
      </c>
      <c r="D65" s="27">
        <v>2016</v>
      </c>
    </row>
    <row r="66" spans="1:4" ht="12.75">
      <c r="A66" s="152"/>
      <c r="B66" s="153"/>
      <c r="C66" s="153"/>
      <c r="D66" s="154"/>
    </row>
    <row r="67" spans="1:4" ht="18">
      <c r="A67" s="13" t="s">
        <v>1530</v>
      </c>
      <c r="B67" s="47">
        <v>44890</v>
      </c>
      <c r="C67" s="48"/>
      <c r="D67" s="48"/>
    </row>
    <row r="68" spans="1:4" ht="12.75">
      <c r="A68" s="15" t="s">
        <v>2</v>
      </c>
      <c r="B68" s="15" t="s">
        <v>3</v>
      </c>
      <c r="C68" s="15" t="s">
        <v>4</v>
      </c>
      <c r="D68" s="15" t="s">
        <v>5</v>
      </c>
    </row>
    <row r="69" spans="1:4" ht="12.75">
      <c r="A69" s="16" t="s">
        <v>1531</v>
      </c>
      <c r="B69" s="16">
        <v>46</v>
      </c>
      <c r="C69" s="16" t="s">
        <v>1532</v>
      </c>
      <c r="D69" s="16">
        <v>2011</v>
      </c>
    </row>
    <row r="70" spans="1:4" ht="12.75">
      <c r="A70" s="17" t="s">
        <v>1533</v>
      </c>
      <c r="B70" s="17">
        <v>45</v>
      </c>
      <c r="C70" s="17" t="s">
        <v>1534</v>
      </c>
      <c r="D70" s="17">
        <v>2021</v>
      </c>
    </row>
    <row r="71" spans="1:4" ht="12.75">
      <c r="A71" s="16" t="s">
        <v>1535</v>
      </c>
      <c r="B71" s="16">
        <v>26</v>
      </c>
      <c r="C71" s="16" t="s">
        <v>1534</v>
      </c>
      <c r="D71" s="16">
        <v>2021</v>
      </c>
    </row>
    <row r="72" spans="1:4" ht="12.75">
      <c r="A72" s="17" t="s">
        <v>1536</v>
      </c>
      <c r="B72" s="17">
        <v>26</v>
      </c>
      <c r="C72" s="17" t="s">
        <v>1536</v>
      </c>
      <c r="D72" s="17">
        <v>2015</v>
      </c>
    </row>
    <row r="73" spans="1:4" ht="12.75">
      <c r="A73" s="16" t="s">
        <v>1537</v>
      </c>
      <c r="B73" s="16">
        <v>22</v>
      </c>
      <c r="C73" s="16" t="s">
        <v>1532</v>
      </c>
      <c r="D73" s="16">
        <v>2011</v>
      </c>
    </row>
    <row r="74" spans="1:4" ht="12.75">
      <c r="A74" s="17" t="s">
        <v>1538</v>
      </c>
      <c r="B74" s="17">
        <v>22</v>
      </c>
      <c r="C74" s="17" t="s">
        <v>1534</v>
      </c>
      <c r="D74" s="17">
        <v>2021</v>
      </c>
    </row>
    <row r="75" spans="1:4" ht="12.75">
      <c r="A75" s="137" t="s">
        <v>3970</v>
      </c>
      <c r="B75" s="16">
        <v>20</v>
      </c>
      <c r="C75" s="16" t="s">
        <v>1534</v>
      </c>
      <c r="D75" s="16">
        <v>2021</v>
      </c>
    </row>
    <row r="76" spans="1:4" ht="12.75">
      <c r="A76" s="17" t="s">
        <v>1539</v>
      </c>
      <c r="B76" s="17">
        <v>20</v>
      </c>
      <c r="C76" s="17" t="s">
        <v>1534</v>
      </c>
      <c r="D76" s="17">
        <v>2021</v>
      </c>
    </row>
    <row r="77" spans="1:4" ht="12.75">
      <c r="A77" s="16" t="s">
        <v>1540</v>
      </c>
      <c r="B77" s="16">
        <v>17</v>
      </c>
      <c r="C77" s="16" t="s">
        <v>1541</v>
      </c>
      <c r="D77" s="16">
        <v>2018</v>
      </c>
    </row>
    <row r="78" spans="1:4" ht="12.75">
      <c r="A78" s="17" t="s">
        <v>1542</v>
      </c>
      <c r="B78" s="17">
        <v>13</v>
      </c>
      <c r="C78" s="17" t="s">
        <v>1541</v>
      </c>
      <c r="D78" s="17">
        <v>2018</v>
      </c>
    </row>
    <row r="79" spans="1:4" ht="12.75">
      <c r="A79" s="16" t="s">
        <v>1543</v>
      </c>
      <c r="B79" s="16">
        <v>13</v>
      </c>
      <c r="C79" s="16" t="s">
        <v>1536</v>
      </c>
      <c r="D79" s="16">
        <v>2015</v>
      </c>
    </row>
    <row r="80" spans="1:4" ht="12.75">
      <c r="A80" s="17" t="s">
        <v>1544</v>
      </c>
      <c r="B80" s="17">
        <v>13</v>
      </c>
      <c r="C80" s="17" t="s">
        <v>1536</v>
      </c>
      <c r="D80" s="17">
        <v>2015</v>
      </c>
    </row>
    <row r="81" spans="1:4" ht="12.75">
      <c r="A81" s="16" t="s">
        <v>1545</v>
      </c>
      <c r="B81" s="16">
        <v>13</v>
      </c>
      <c r="C81" s="16" t="s">
        <v>1536</v>
      </c>
      <c r="D81" s="16">
        <v>2015</v>
      </c>
    </row>
    <row r="82" spans="1:4" ht="12.75">
      <c r="A82" s="155"/>
      <c r="B82" s="156"/>
      <c r="C82" s="156"/>
      <c r="D82" s="156"/>
    </row>
    <row r="83" spans="1:4" ht="18">
      <c r="A83" s="22" t="s">
        <v>1546</v>
      </c>
      <c r="B83" s="43">
        <v>44103</v>
      </c>
      <c r="C83" s="24"/>
      <c r="D83" s="24" t="s">
        <v>1547</v>
      </c>
    </row>
    <row r="84" spans="1:4" ht="12.75">
      <c r="A84" s="26" t="s">
        <v>2</v>
      </c>
      <c r="B84" s="26" t="s">
        <v>3</v>
      </c>
      <c r="C84" s="26" t="s">
        <v>4</v>
      </c>
      <c r="D84" s="26" t="s">
        <v>5</v>
      </c>
    </row>
    <row r="85" spans="1:4" ht="12.75">
      <c r="A85" s="7" t="s">
        <v>1548</v>
      </c>
      <c r="B85" s="8">
        <v>51</v>
      </c>
      <c r="C85" s="9" t="s">
        <v>1549</v>
      </c>
      <c r="D85" s="7">
        <v>1988</v>
      </c>
    </row>
    <row r="86" spans="1:4" ht="12.75">
      <c r="A86" s="27" t="s">
        <v>1550</v>
      </c>
      <c r="B86" s="28">
        <v>43</v>
      </c>
      <c r="C86" s="29" t="s">
        <v>1551</v>
      </c>
      <c r="D86" s="27">
        <v>1986</v>
      </c>
    </row>
    <row r="87" spans="1:4" ht="12.75">
      <c r="A87" s="7" t="s">
        <v>1552</v>
      </c>
      <c r="B87" s="8">
        <v>34</v>
      </c>
      <c r="C87" s="9" t="s">
        <v>1549</v>
      </c>
      <c r="D87" s="7">
        <v>1988</v>
      </c>
    </row>
    <row r="88" spans="1:4" ht="12.75">
      <c r="A88" s="27" t="s">
        <v>1553</v>
      </c>
      <c r="B88" s="28">
        <v>32</v>
      </c>
      <c r="C88" s="29" t="s">
        <v>1551</v>
      </c>
      <c r="D88" s="27">
        <v>1986</v>
      </c>
    </row>
    <row r="89" spans="1:4" ht="12.75">
      <c r="A89" s="7" t="s">
        <v>1554</v>
      </c>
      <c r="B89" s="8">
        <v>32</v>
      </c>
      <c r="C89" s="9" t="s">
        <v>1549</v>
      </c>
      <c r="D89" s="7">
        <v>1988</v>
      </c>
    </row>
    <row r="90" spans="1:4" ht="12.75">
      <c r="A90" s="27" t="s">
        <v>1555</v>
      </c>
      <c r="B90" s="28">
        <v>30</v>
      </c>
      <c r="C90" s="29" t="s">
        <v>1556</v>
      </c>
      <c r="D90" s="27">
        <v>1987</v>
      </c>
    </row>
    <row r="91" spans="1:4" ht="12.75">
      <c r="A91" s="7" t="s">
        <v>1557</v>
      </c>
      <c r="B91" s="8">
        <v>28</v>
      </c>
      <c r="C91" s="9" t="s">
        <v>1556</v>
      </c>
      <c r="D91" s="7">
        <v>1987</v>
      </c>
    </row>
    <row r="92" spans="1:4" ht="12.75">
      <c r="A92" s="27" t="s">
        <v>1558</v>
      </c>
      <c r="B92" s="28">
        <v>25</v>
      </c>
      <c r="C92" s="29" t="s">
        <v>1549</v>
      </c>
      <c r="D92" s="27">
        <v>1988</v>
      </c>
    </row>
    <row r="93" spans="1:4" ht="12.75">
      <c r="A93" s="7" t="s">
        <v>1559</v>
      </c>
      <c r="B93" s="8">
        <v>24</v>
      </c>
      <c r="C93" s="9" t="s">
        <v>1549</v>
      </c>
      <c r="D93" s="7">
        <v>1988</v>
      </c>
    </row>
    <row r="94" spans="1:4" ht="12.75">
      <c r="A94" s="27" t="s">
        <v>1560</v>
      </c>
      <c r="B94" s="28">
        <v>24</v>
      </c>
      <c r="C94" s="29" t="s">
        <v>1551</v>
      </c>
      <c r="D94" s="27">
        <v>1986</v>
      </c>
    </row>
    <row r="95" spans="1:4" ht="12.75">
      <c r="A95" s="152"/>
      <c r="B95" s="153"/>
      <c r="C95" s="153"/>
      <c r="D95" s="154"/>
    </row>
    <row r="96" spans="1:4" ht="18">
      <c r="A96" s="22" t="str">
        <f>HYPERLINK("https://www.reddit.com/r/indieheads/comments/3idvig/top_ten_tuesday_godspeed_you_black_emperor/","Godspeed You! Black Emperor")</f>
        <v>Godspeed You! Black Emperor</v>
      </c>
      <c r="B96" s="23">
        <v>42241</v>
      </c>
      <c r="C96" s="24"/>
      <c r="D96" s="32" t="s">
        <v>1</v>
      </c>
    </row>
    <row r="97" spans="1:4" ht="12.75">
      <c r="A97" s="26" t="s">
        <v>2</v>
      </c>
      <c r="B97" s="26" t="s">
        <v>3</v>
      </c>
      <c r="C97" s="26" t="s">
        <v>4</v>
      </c>
      <c r="D97" s="26" t="s">
        <v>5</v>
      </c>
    </row>
    <row r="98" spans="1:4" ht="12.75">
      <c r="A98" s="7" t="s">
        <v>1561</v>
      </c>
      <c r="B98" s="8">
        <v>227</v>
      </c>
      <c r="C98" s="9" t="str">
        <f>HYPERLINK("https://en.wikipedia.org/wiki/F%E2%99%AF_A%E2%99%AF_%E2%88%9E","F♯ A♯ ∞")</f>
        <v>F♯ A♯ ∞</v>
      </c>
      <c r="D98" s="7">
        <v>1997</v>
      </c>
    </row>
    <row r="99" spans="1:4" ht="12.75">
      <c r="A99" s="27" t="s">
        <v>1562</v>
      </c>
      <c r="B99" s="28">
        <v>212</v>
      </c>
      <c r="C99" s="29" t="str">
        <f t="shared" ref="C99:C100" si="6">HYPERLINK("https://en.wikipedia.org/wiki/Lift_Your_Skinny_Fists_Like_Antennas_to_Heaven","Lift Your Skinny Fists Like Antennas to Heaven")</f>
        <v>Lift Your Skinny Fists Like Antennas to Heaven</v>
      </c>
      <c r="D99" s="27">
        <v>2000</v>
      </c>
    </row>
    <row r="100" spans="1:4" ht="12.75">
      <c r="A100" s="7" t="s">
        <v>1563</v>
      </c>
      <c r="B100" s="8">
        <v>193</v>
      </c>
      <c r="C100" s="9" t="str">
        <f t="shared" si="6"/>
        <v>Lift Your Skinny Fists Like Antennas to Heaven</v>
      </c>
      <c r="D100" s="7">
        <v>2000</v>
      </c>
    </row>
    <row r="101" spans="1:4" ht="12.75">
      <c r="A101" s="27" t="s">
        <v>1564</v>
      </c>
      <c r="B101" s="28">
        <v>178</v>
      </c>
      <c r="C101" s="29" t="str">
        <f>HYPERLINK("https://en.wikipedia.org/wiki/%27Allelujah!_Don%27t_Bend!_Ascend!","Allelujah! Don't Bend! Ascend!")</f>
        <v>Allelujah! Don't Bend! Ascend!</v>
      </c>
      <c r="D101" s="27">
        <v>2012</v>
      </c>
    </row>
    <row r="102" spans="1:4" ht="12.75">
      <c r="A102" s="7" t="s">
        <v>1565</v>
      </c>
      <c r="B102" s="8">
        <v>158</v>
      </c>
      <c r="C102" s="9" t="str">
        <f t="shared" ref="C102:C103" si="7">HYPERLINK("https://en.wikipedia.org/wiki/Slow_Riot_for_New_Zero_Kanada","Slow Riot for New Zero Kanada")</f>
        <v>Slow Riot for New Zero Kanada</v>
      </c>
      <c r="D102" s="7">
        <v>1999</v>
      </c>
    </row>
    <row r="103" spans="1:4" ht="12.75">
      <c r="A103" s="27" t="s">
        <v>1566</v>
      </c>
      <c r="B103" s="28">
        <v>155</v>
      </c>
      <c r="C103" s="29" t="str">
        <f t="shared" si="7"/>
        <v>Slow Riot for New Zero Kanada</v>
      </c>
      <c r="D103" s="27">
        <v>1999</v>
      </c>
    </row>
    <row r="104" spans="1:4" ht="12.75">
      <c r="A104" s="7" t="s">
        <v>1567</v>
      </c>
      <c r="B104" s="8">
        <v>117</v>
      </c>
      <c r="C104" s="9" t="str">
        <f>HYPERLINK("https://en.wikipedia.org/wiki/F%E2%99%AF_A%E2%99%AF_%E2%88%9E","F♯ A♯ ∞")</f>
        <v>F♯ A♯ ∞</v>
      </c>
      <c r="D104" s="7">
        <v>1997</v>
      </c>
    </row>
    <row r="105" spans="1:4" ht="12.75">
      <c r="A105" s="27" t="s">
        <v>1568</v>
      </c>
      <c r="B105" s="28">
        <v>114</v>
      </c>
      <c r="C105" s="29" t="str">
        <f t="shared" ref="C105:C106" si="8">HYPERLINK("https://en.wikipedia.org/wiki/Lift_Your_Skinny_Fists_Like_Antennas_to_Heaven","Lift Your Skinny Fists Like Antennas to Heaven")</f>
        <v>Lift Your Skinny Fists Like Antennas to Heaven</v>
      </c>
      <c r="D105" s="27">
        <v>2000</v>
      </c>
    </row>
    <row r="106" spans="1:4" ht="12.75">
      <c r="A106" s="7" t="s">
        <v>1569</v>
      </c>
      <c r="B106" s="8">
        <v>101</v>
      </c>
      <c r="C106" s="9" t="str">
        <f t="shared" si="8"/>
        <v>Lift Your Skinny Fists Like Antennas to Heaven</v>
      </c>
      <c r="D106" s="7">
        <v>2000</v>
      </c>
    </row>
    <row r="107" spans="1:4" ht="12.75">
      <c r="A107" s="27" t="s">
        <v>1570</v>
      </c>
      <c r="B107" s="28">
        <v>72</v>
      </c>
      <c r="C107" s="29" t="str">
        <f>HYPERLINK("https://en.wikipedia.org/wiki/Yanqui_U.X.O.","Yanqui U.X.O.")</f>
        <v>Yanqui U.X.O.</v>
      </c>
      <c r="D107" s="27">
        <v>2002</v>
      </c>
    </row>
    <row r="108" spans="1:4" ht="12.75">
      <c r="A108" s="152"/>
      <c r="B108" s="153"/>
      <c r="C108" s="153"/>
      <c r="D108" s="154"/>
    </row>
    <row r="109" spans="1:4" ht="18">
      <c r="A109" s="22" t="str">
        <f>HYPERLINK("https://www.reddit.com/r/indieheads/comments/6y7ahd/top_ten_tuesday_gorillaz/","Gorillaz")</f>
        <v>Gorillaz</v>
      </c>
      <c r="B109" s="23">
        <v>44839</v>
      </c>
      <c r="C109" s="24"/>
      <c r="D109" s="24"/>
    </row>
    <row r="110" spans="1:4" ht="12.75">
      <c r="A110" s="26" t="s">
        <v>2</v>
      </c>
      <c r="B110" s="26" t="s">
        <v>3</v>
      </c>
      <c r="C110" s="26" t="s">
        <v>4</v>
      </c>
      <c r="D110" s="26" t="s">
        <v>5</v>
      </c>
    </row>
    <row r="111" spans="1:4" ht="12.75">
      <c r="A111" s="7" t="s">
        <v>1571</v>
      </c>
      <c r="B111" s="8">
        <v>337</v>
      </c>
      <c r="C111" s="19" t="str">
        <f>HYPERLINK("http://en.wikipedia.org/wiki/Plastic_Beach","Plastic Beach")</f>
        <v>Plastic Beach</v>
      </c>
      <c r="D111" s="7">
        <v>2010</v>
      </c>
    </row>
    <row r="112" spans="1:4" ht="12.75">
      <c r="A112" s="65" t="s">
        <v>1572</v>
      </c>
      <c r="B112" s="66">
        <v>282</v>
      </c>
      <c r="C112" s="67" t="str">
        <f>HYPERLINK("http://en.wikipedia.org/wiki/Demon_Days","Demon Days")</f>
        <v>Demon Days</v>
      </c>
      <c r="D112" s="65">
        <v>2005</v>
      </c>
    </row>
    <row r="113" spans="1:4" ht="12.75">
      <c r="A113" s="7" t="s">
        <v>1573</v>
      </c>
      <c r="B113" s="8">
        <v>266</v>
      </c>
      <c r="C113" s="19" t="str">
        <f>HYPERLINK("https://en.wikipedia.org/wiki/Plastic_Beach","Plastic Beach")</f>
        <v>Plastic Beach</v>
      </c>
      <c r="D113" s="7">
        <v>2010</v>
      </c>
    </row>
    <row r="114" spans="1:4" ht="12.75">
      <c r="A114" s="65" t="s">
        <v>1574</v>
      </c>
      <c r="B114" s="66">
        <v>228</v>
      </c>
      <c r="C114" s="67" t="str">
        <f>HYPERLINK("http://en.wikipedia.org/wiki/Plastic_Beach","Plastic Beach")</f>
        <v>Plastic Beach</v>
      </c>
      <c r="D114" s="65">
        <v>2010</v>
      </c>
    </row>
    <row r="115" spans="1:4" ht="12.75">
      <c r="A115" s="7" t="s">
        <v>1575</v>
      </c>
      <c r="B115" s="8">
        <v>204</v>
      </c>
      <c r="C115" s="19" t="str">
        <f>HYPERLINK("http://en.wikipedia.org/wiki/Gorillaz_(album)","Gorillaz")</f>
        <v>Gorillaz</v>
      </c>
      <c r="D115" s="7">
        <v>2001</v>
      </c>
    </row>
    <row r="116" spans="1:4" ht="12.75">
      <c r="A116" s="65" t="s">
        <v>1576</v>
      </c>
      <c r="B116" s="66">
        <v>167</v>
      </c>
      <c r="C116" s="67" t="str">
        <f>HYPERLINK("https://en.wikipedia.org/wiki/Demon_Days","Demon Days")</f>
        <v>Demon Days</v>
      </c>
      <c r="D116" s="65">
        <v>2005</v>
      </c>
    </row>
    <row r="117" spans="1:4" ht="12.75">
      <c r="A117" s="7" t="s">
        <v>1577</v>
      </c>
      <c r="B117" s="8">
        <v>148</v>
      </c>
      <c r="C117" s="19" t="s">
        <v>1578</v>
      </c>
      <c r="D117" s="7">
        <v>2010</v>
      </c>
    </row>
    <row r="118" spans="1:4" ht="12.75">
      <c r="A118" s="65" t="s">
        <v>1579</v>
      </c>
      <c r="B118" s="66">
        <v>132</v>
      </c>
      <c r="C118" s="67" t="str">
        <f>HYPERLINK("http://en.wikipedia.org/wiki/Demon_Days","Demon Days")</f>
        <v>Demon Days</v>
      </c>
      <c r="D118" s="65">
        <v>2005</v>
      </c>
    </row>
    <row r="119" spans="1:4" ht="12.75">
      <c r="A119" s="7" t="s">
        <v>1580</v>
      </c>
      <c r="B119" s="8">
        <v>114</v>
      </c>
      <c r="C119" s="19" t="s">
        <v>1581</v>
      </c>
      <c r="D119" s="7">
        <v>2020</v>
      </c>
    </row>
    <row r="120" spans="1:4" ht="12.75">
      <c r="A120" s="27" t="s">
        <v>1582</v>
      </c>
      <c r="B120" s="28">
        <v>110</v>
      </c>
      <c r="C120" s="35" t="str">
        <f>HYPERLINK("https://en.wikipedia.org/wiki/Demon_Days","Demon Days")</f>
        <v>Demon Days</v>
      </c>
      <c r="D120" s="27">
        <v>2005</v>
      </c>
    </row>
    <row r="121" spans="1:4" ht="12.75">
      <c r="A121" s="152"/>
      <c r="B121" s="153"/>
      <c r="C121" s="153"/>
      <c r="D121" s="154"/>
    </row>
    <row r="122" spans="1:4" ht="18">
      <c r="A122" s="22" t="str">
        <f>HYPERLINK("https://www.reddit.com/r/indieheads/comments/9qocg7/top_ten_tuesday_grandaddy/","Grandaddy")</f>
        <v>Grandaddy</v>
      </c>
      <c r="B122" s="43">
        <v>43396</v>
      </c>
      <c r="C122" s="24"/>
      <c r="D122" s="32" t="s">
        <v>1</v>
      </c>
    </row>
    <row r="123" spans="1:4" ht="12.75">
      <c r="A123" s="26" t="s">
        <v>2</v>
      </c>
      <c r="B123" s="26" t="s">
        <v>3</v>
      </c>
      <c r="C123" s="26" t="s">
        <v>4</v>
      </c>
      <c r="D123" s="26" t="s">
        <v>5</v>
      </c>
    </row>
    <row r="124" spans="1:4" ht="12.75">
      <c r="A124" s="7" t="s">
        <v>1583</v>
      </c>
      <c r="B124" s="8">
        <v>75</v>
      </c>
      <c r="C124" s="9" t="str">
        <f>HYPERLINK("https://en.wikipedia.org/wiki/The_Sophtware_Slump","The Sophtware Slump")</f>
        <v>The Sophtware Slump</v>
      </c>
      <c r="D124" s="7">
        <v>2000</v>
      </c>
    </row>
    <row r="125" spans="1:4" ht="12.75">
      <c r="A125" s="132" t="s">
        <v>3971</v>
      </c>
      <c r="B125" s="28">
        <v>73</v>
      </c>
      <c r="C125" s="29" t="str">
        <f>HYPERLINK("https://en.wikipedia.org/wiki/Under_the_Western_Freeway","Under the Western Freeway")</f>
        <v>Under the Western Freeway</v>
      </c>
      <c r="D125" s="27">
        <v>1997</v>
      </c>
    </row>
    <row r="126" spans="1:4" ht="12.75">
      <c r="A126" s="7" t="s">
        <v>1584</v>
      </c>
      <c r="B126" s="8">
        <v>61</v>
      </c>
      <c r="C126" s="9" t="str">
        <f>HYPERLINK("https://en.wikipedia.org/wiki/The_Sophtware_Slump","The Sophtware Slump")</f>
        <v>The Sophtware Slump</v>
      </c>
      <c r="D126" s="7">
        <v>2000</v>
      </c>
    </row>
    <row r="127" spans="1:4" ht="12.75">
      <c r="A127" s="27" t="s">
        <v>1585</v>
      </c>
      <c r="B127" s="28">
        <v>56</v>
      </c>
      <c r="C127" s="29" t="str">
        <f>HYPERLINK("https://en.wikipedia.org/wiki/Sumday","Sumday")</f>
        <v>Sumday</v>
      </c>
      <c r="D127" s="27">
        <v>2003</v>
      </c>
    </row>
    <row r="128" spans="1:4" ht="12.75">
      <c r="A128" s="7" t="s">
        <v>1586</v>
      </c>
      <c r="B128" s="8">
        <v>41</v>
      </c>
      <c r="C128" s="9" t="str">
        <f>HYPERLINK("https://en.wikipedia.org/wiki/Under_the_Western_Freeway","Under the Western Freeway")</f>
        <v>Under the Western Freeway</v>
      </c>
      <c r="D128" s="7">
        <v>1997</v>
      </c>
    </row>
    <row r="129" spans="1:4" ht="12.75">
      <c r="A129" s="27" t="s">
        <v>1587</v>
      </c>
      <c r="B129" s="28">
        <v>39</v>
      </c>
      <c r="C129" s="29" t="str">
        <f>HYPERLINK("https://en.wikipedia.org/wiki/The_Sophtware_Slump","The Sophtware Slump")</f>
        <v>The Sophtware Slump</v>
      </c>
      <c r="D129" s="27">
        <v>2000</v>
      </c>
    </row>
    <row r="130" spans="1:4" ht="12.75">
      <c r="A130" s="7" t="s">
        <v>1588</v>
      </c>
      <c r="B130" s="8">
        <v>38</v>
      </c>
      <c r="C130" s="9" t="str">
        <f>HYPERLINK("https://en.wikipedia.org/wiki/Sumday","Sumday")</f>
        <v>Sumday</v>
      </c>
      <c r="D130" s="7">
        <v>2003</v>
      </c>
    </row>
    <row r="131" spans="1:4" ht="12.75">
      <c r="A131" s="27" t="s">
        <v>1589</v>
      </c>
      <c r="B131" s="28">
        <v>35</v>
      </c>
      <c r="C131" s="29" t="str">
        <f>HYPERLINK("https://rateyourmusic.com/release/ep/grandaddy/machines-are-not-she/","Machines Are Not She EP")</f>
        <v>Machines Are Not She EP</v>
      </c>
      <c r="D131" s="27">
        <v>1998</v>
      </c>
    </row>
    <row r="132" spans="1:4" ht="12.75">
      <c r="A132" s="7" t="s">
        <v>1590</v>
      </c>
      <c r="B132" s="8">
        <v>33</v>
      </c>
      <c r="C132" s="9" t="str">
        <f>HYPERLINK("https://en.wikipedia.org/wiki/Sumday","Sumday")</f>
        <v>Sumday</v>
      </c>
      <c r="D132" s="7">
        <v>2003</v>
      </c>
    </row>
    <row r="133" spans="1:4" ht="12.75">
      <c r="A133" s="27" t="s">
        <v>1591</v>
      </c>
      <c r="B133" s="28">
        <v>27</v>
      </c>
      <c r="C133" s="29" t="str">
        <f>HYPERLINK("https://en.wikipedia.org/wiki/Under_the_Western_Freeway","Under the Western Freeway")</f>
        <v>Under the Western Freeway</v>
      </c>
      <c r="D133" s="27">
        <v>1997</v>
      </c>
    </row>
    <row r="134" spans="1:4" ht="12.75">
      <c r="A134" s="155"/>
      <c r="B134" s="156"/>
      <c r="C134" s="156"/>
      <c r="D134" s="156"/>
    </row>
    <row r="135" spans="1:4" ht="18">
      <c r="A135" s="13" t="s">
        <v>1592</v>
      </c>
      <c r="B135" s="14">
        <v>44947</v>
      </c>
      <c r="C135" s="15"/>
      <c r="D135" s="15"/>
    </row>
    <row r="136" spans="1:4" ht="12.75">
      <c r="A136" s="15" t="s">
        <v>2</v>
      </c>
      <c r="B136" s="15" t="s">
        <v>3</v>
      </c>
      <c r="C136" s="15" t="s">
        <v>4</v>
      </c>
      <c r="D136" s="15" t="s">
        <v>5</v>
      </c>
    </row>
    <row r="137" spans="1:4" ht="12.75">
      <c r="A137" s="16" t="s">
        <v>1593</v>
      </c>
      <c r="B137" s="16">
        <v>89</v>
      </c>
      <c r="C137" s="16" t="s">
        <v>1594</v>
      </c>
      <c r="D137" s="16">
        <v>1968</v>
      </c>
    </row>
    <row r="138" spans="1:4" ht="12.75">
      <c r="A138" s="17" t="s">
        <v>1595</v>
      </c>
      <c r="B138" s="17">
        <v>75</v>
      </c>
      <c r="C138" s="17" t="s">
        <v>1596</v>
      </c>
      <c r="D138" s="17">
        <v>1973</v>
      </c>
    </row>
    <row r="139" spans="1:4" ht="12.75">
      <c r="A139" s="16" t="s">
        <v>1597</v>
      </c>
      <c r="B139" s="16">
        <v>74</v>
      </c>
      <c r="C139" s="16" t="s">
        <v>1598</v>
      </c>
      <c r="D139" s="16">
        <v>1970</v>
      </c>
    </row>
    <row r="140" spans="1:4" ht="12.75">
      <c r="A140" s="17" t="s">
        <v>1599</v>
      </c>
      <c r="B140" s="17">
        <v>65</v>
      </c>
      <c r="C140" s="17" t="s">
        <v>1600</v>
      </c>
      <c r="D140" s="17">
        <v>1974</v>
      </c>
    </row>
    <row r="141" spans="1:4" ht="12.75">
      <c r="A141" s="16" t="s">
        <v>1601</v>
      </c>
      <c r="B141" s="16">
        <v>51</v>
      </c>
      <c r="C141" s="16" t="s">
        <v>1598</v>
      </c>
      <c r="D141" s="16">
        <v>1970</v>
      </c>
    </row>
    <row r="142" spans="1:4" ht="12.75">
      <c r="A142" s="17" t="s">
        <v>1602</v>
      </c>
      <c r="B142" s="17">
        <v>50</v>
      </c>
      <c r="C142" s="17" t="s">
        <v>1598</v>
      </c>
      <c r="D142" s="17">
        <v>1970</v>
      </c>
    </row>
    <row r="143" spans="1:4" ht="12.75">
      <c r="A143" s="16" t="s">
        <v>1603</v>
      </c>
      <c r="B143" s="16">
        <v>48</v>
      </c>
      <c r="C143" s="16" t="s">
        <v>1604</v>
      </c>
      <c r="D143" s="16">
        <v>1970</v>
      </c>
    </row>
    <row r="144" spans="1:4" ht="12.75">
      <c r="A144" s="17" t="s">
        <v>1605</v>
      </c>
      <c r="B144" s="17">
        <v>47</v>
      </c>
      <c r="C144" s="17" t="s">
        <v>1598</v>
      </c>
      <c r="D144" s="17">
        <v>1970</v>
      </c>
    </row>
    <row r="145" spans="1:4" ht="12.75">
      <c r="A145" s="16" t="s">
        <v>1606</v>
      </c>
      <c r="B145" s="16">
        <v>46</v>
      </c>
      <c r="C145" s="16" t="s">
        <v>1607</v>
      </c>
      <c r="D145" s="16">
        <v>1969</v>
      </c>
    </row>
    <row r="146" spans="1:4" ht="12.75">
      <c r="A146" s="17" t="s">
        <v>1608</v>
      </c>
      <c r="B146" s="17">
        <v>37</v>
      </c>
      <c r="C146" s="17" t="s">
        <v>1609</v>
      </c>
      <c r="D146" s="17">
        <v>1972</v>
      </c>
    </row>
    <row r="147" spans="1:4" ht="12.75">
      <c r="A147" s="152"/>
      <c r="B147" s="153"/>
      <c r="C147" s="153"/>
      <c r="D147" s="154"/>
    </row>
    <row r="148" spans="1:4" ht="18">
      <c r="A148" s="22" t="str">
        <f>HYPERLINK("https://www.reddit.com/r/indieheads/comments/4vstxu/top_ten_tuesday_grimes/","Grimes")</f>
        <v>Grimes</v>
      </c>
      <c r="B148" s="43">
        <v>42584</v>
      </c>
      <c r="C148" s="24"/>
      <c r="D148" s="24"/>
    </row>
    <row r="149" spans="1:4" ht="12.75">
      <c r="A149" s="26" t="s">
        <v>2</v>
      </c>
      <c r="B149" s="26" t="s">
        <v>3</v>
      </c>
      <c r="C149" s="26" t="s">
        <v>4</v>
      </c>
      <c r="D149" s="26" t="s">
        <v>5</v>
      </c>
    </row>
    <row r="150" spans="1:4" ht="12.75">
      <c r="A150" s="7" t="s">
        <v>1610</v>
      </c>
      <c r="B150" s="8">
        <v>431</v>
      </c>
      <c r="C150" s="9" t="str">
        <f>HYPERLINK("https://en.wikipedia.org/wiki/Visions_(Grimes_album)","Visions")</f>
        <v>Visions</v>
      </c>
      <c r="D150" s="7">
        <v>2012</v>
      </c>
    </row>
    <row r="151" spans="1:4" ht="12.75">
      <c r="A151" s="27" t="s">
        <v>1611</v>
      </c>
      <c r="B151" s="28">
        <v>388</v>
      </c>
      <c r="C151" s="29" t="str">
        <f>HYPERLINK("https://en.wikipedia.org/wiki/Art_Angels","Art Angels")</f>
        <v>Art Angels</v>
      </c>
      <c r="D151" s="27">
        <v>2015</v>
      </c>
    </row>
    <row r="152" spans="1:4" ht="12.75">
      <c r="A152" s="7" t="s">
        <v>1612</v>
      </c>
      <c r="B152" s="8">
        <v>361</v>
      </c>
      <c r="C152" s="9" t="str">
        <f>HYPERLINK("https://en.wikipedia.org/wiki/Visions_(Grimes_album)","Visions")</f>
        <v>Visions</v>
      </c>
      <c r="D152" s="7">
        <v>2012</v>
      </c>
    </row>
    <row r="153" spans="1:4" ht="12.75">
      <c r="A153" s="27" t="s">
        <v>1613</v>
      </c>
      <c r="B153" s="28">
        <v>345</v>
      </c>
      <c r="C153" s="29" t="str">
        <f t="shared" ref="C153:C154" si="9">HYPERLINK("https://en.wikipedia.org/wiki/Art_Angels","Art Angels")</f>
        <v>Art Angels</v>
      </c>
      <c r="D153" s="27">
        <v>2015</v>
      </c>
    </row>
    <row r="154" spans="1:4" ht="12.75">
      <c r="A154" s="7" t="s">
        <v>1614</v>
      </c>
      <c r="B154" s="8">
        <v>214</v>
      </c>
      <c r="C154" s="9" t="str">
        <f t="shared" si="9"/>
        <v>Art Angels</v>
      </c>
      <c r="D154" s="7">
        <v>2015</v>
      </c>
    </row>
    <row r="155" spans="1:4" ht="12.75">
      <c r="A155" s="27" t="s">
        <v>1615</v>
      </c>
      <c r="B155" s="28">
        <v>146</v>
      </c>
      <c r="C155" s="29" t="str">
        <f>HYPERLINK("https://en.wikipedia.org/wiki/Visions_(Grimes_album)","Visions")</f>
        <v>Visions</v>
      </c>
      <c r="D155" s="27">
        <v>2012</v>
      </c>
    </row>
    <row r="156" spans="1:4" ht="12.75">
      <c r="A156" s="7" t="s">
        <v>1616</v>
      </c>
      <c r="B156" s="8">
        <v>140</v>
      </c>
      <c r="C156" s="9" t="str">
        <f>HYPERLINK("https://en.wikipedia.org/wiki/Darkbloom","Darkbloom")</f>
        <v>Darkbloom</v>
      </c>
      <c r="D156" s="7">
        <v>2011</v>
      </c>
    </row>
    <row r="157" spans="1:4" ht="12.75">
      <c r="A157" s="27" t="s">
        <v>1617</v>
      </c>
      <c r="B157" s="28">
        <v>129</v>
      </c>
      <c r="C157" s="29" t="str">
        <f t="shared" ref="C157:C158" si="10">HYPERLINK("https://en.wikipedia.org/wiki/Art_Angels","Art Angels")</f>
        <v>Art Angels</v>
      </c>
      <c r="D157" s="27">
        <v>2015</v>
      </c>
    </row>
    <row r="158" spans="1:4" ht="12.75">
      <c r="A158" s="7" t="s">
        <v>1618</v>
      </c>
      <c r="B158" s="8">
        <v>105</v>
      </c>
      <c r="C158" s="9" t="str">
        <f t="shared" si="10"/>
        <v>Art Angels</v>
      </c>
      <c r="D158" s="7">
        <v>2015</v>
      </c>
    </row>
    <row r="159" spans="1:4" ht="12.75">
      <c r="A159" s="27" t="s">
        <v>1619</v>
      </c>
      <c r="B159" s="28">
        <v>103</v>
      </c>
      <c r="C159" s="29" t="str">
        <f>HYPERLINK("https://en.wikipedia.org/wiki/Visions_(Grimes_album)","Visions")</f>
        <v>Visions</v>
      </c>
      <c r="D159" s="27">
        <v>2012</v>
      </c>
    </row>
    <row r="160" spans="1:4" ht="12.75">
      <c r="A160" s="152"/>
      <c r="B160" s="153"/>
      <c r="C160" s="153"/>
      <c r="D160" s="154"/>
    </row>
    <row r="161" spans="1:4" ht="18">
      <c r="A161" s="22" t="str">
        <f>HYPERLINK("https://www.reddit.com/r/indieheads/comments/7lbioj/top_ten_tday_grizzly_bear/","Grizzly Bear")</f>
        <v>Grizzly Bear</v>
      </c>
      <c r="B161" s="23">
        <v>43090</v>
      </c>
      <c r="C161" s="24"/>
      <c r="D161" s="24"/>
    </row>
    <row r="162" spans="1:4" ht="12.75">
      <c r="A162" s="26" t="s">
        <v>2</v>
      </c>
      <c r="B162" s="26" t="s">
        <v>3</v>
      </c>
      <c r="C162" s="26" t="s">
        <v>4</v>
      </c>
      <c r="D162" s="26" t="s">
        <v>5</v>
      </c>
    </row>
    <row r="163" spans="1:4" ht="12.75">
      <c r="A163" s="7" t="s">
        <v>1620</v>
      </c>
      <c r="B163" s="8">
        <v>327</v>
      </c>
      <c r="C163" s="9" t="str">
        <f>HYPERLINK("http://en.wikipedia.org/wiki/Shields_(album)","Shields")</f>
        <v>Shields</v>
      </c>
      <c r="D163" s="7">
        <v>2012</v>
      </c>
    </row>
    <row r="164" spans="1:4" ht="12.75">
      <c r="A164" s="10" t="s">
        <v>1621</v>
      </c>
      <c r="B164" s="11">
        <v>216</v>
      </c>
      <c r="C164" s="12" t="str">
        <f>HYPERLINK("http://en.wikipedia.org/wiki/Yellow_House_(album)","Yellow House")</f>
        <v>Yellow House</v>
      </c>
      <c r="D164" s="10">
        <v>2007</v>
      </c>
    </row>
    <row r="165" spans="1:4" ht="12.75">
      <c r="A165" s="7" t="s">
        <v>1622</v>
      </c>
      <c r="B165" s="8">
        <v>206</v>
      </c>
      <c r="C165" s="9" t="str">
        <f t="shared" ref="C165:C166" si="11">HYPERLINK("http://en.wikipedia.org/wiki/Veckatimest","Veckatimest")</f>
        <v>Veckatimest</v>
      </c>
      <c r="D165" s="7">
        <v>2009</v>
      </c>
    </row>
    <row r="166" spans="1:4" ht="12.75">
      <c r="A166" s="10" t="s">
        <v>1303</v>
      </c>
      <c r="B166" s="11">
        <v>205</v>
      </c>
      <c r="C166" s="12" t="str">
        <f t="shared" si="11"/>
        <v>Veckatimest</v>
      </c>
      <c r="D166" s="10">
        <v>2009</v>
      </c>
    </row>
    <row r="167" spans="1:4" ht="12.75">
      <c r="A167" s="7" t="s">
        <v>1623</v>
      </c>
      <c r="B167" s="8">
        <v>194</v>
      </c>
      <c r="C167" s="9" t="str">
        <f>HYPERLINK("http://en.wikipedia.org/wiki/Shields_(album)","Shields")</f>
        <v>Shields</v>
      </c>
      <c r="D167" s="7">
        <v>2012</v>
      </c>
    </row>
    <row r="168" spans="1:4" ht="12.75">
      <c r="A168" s="27" t="s">
        <v>1624</v>
      </c>
      <c r="B168" s="28">
        <v>191</v>
      </c>
      <c r="C168" s="29" t="str">
        <f>HYPERLINK("http://en.wikipedia.org/wiki/Veckatimest","Veckatimest")</f>
        <v>Veckatimest</v>
      </c>
      <c r="D168" s="27">
        <v>2009</v>
      </c>
    </row>
    <row r="169" spans="1:4" ht="12.75">
      <c r="A169" s="7" t="s">
        <v>1625</v>
      </c>
      <c r="B169" s="8">
        <v>167</v>
      </c>
      <c r="C169" s="9" t="str">
        <f>HYPERLINK("http://en.wikipedia.org/wiki/Shields_(album)","Shields")</f>
        <v>Shields</v>
      </c>
      <c r="D169" s="7">
        <v>2012</v>
      </c>
    </row>
    <row r="170" spans="1:4" ht="12.75">
      <c r="A170" s="27" t="s">
        <v>1626</v>
      </c>
      <c r="B170" s="28">
        <v>157</v>
      </c>
      <c r="C170" s="29" t="str">
        <f>HYPERLINK("https://en.wikipedia.org/wiki/Yellow_House_(album)","Yellow House")</f>
        <v>Yellow House</v>
      </c>
      <c r="D170" s="27">
        <v>2007</v>
      </c>
    </row>
    <row r="171" spans="1:4" ht="12.75">
      <c r="A171" s="7" t="s">
        <v>1627</v>
      </c>
      <c r="B171" s="8">
        <v>150</v>
      </c>
      <c r="C171" s="9" t="str">
        <f>HYPERLINK("https://en.wikipedia.org/wiki/Shields_(album)","Shields")</f>
        <v>Shields</v>
      </c>
      <c r="D171" s="7">
        <v>2012</v>
      </c>
    </row>
    <row r="172" spans="1:4" ht="12.75">
      <c r="A172" s="10" t="s">
        <v>1628</v>
      </c>
      <c r="B172" s="11">
        <v>149</v>
      </c>
      <c r="C172" s="12" t="str">
        <f>HYPERLINK("https://en.wikipedia.org/wiki/Painted_Ruins","Painted Ruins")</f>
        <v>Painted Ruins</v>
      </c>
      <c r="D172" s="10">
        <v>2017</v>
      </c>
    </row>
    <row r="173" spans="1:4" ht="12.75">
      <c r="A173" s="152"/>
      <c r="B173" s="153"/>
      <c r="C173" s="153"/>
      <c r="D173" s="154"/>
    </row>
    <row r="174" spans="1:4" ht="18">
      <c r="A174" s="2" t="s">
        <v>1629</v>
      </c>
      <c r="B174" s="3">
        <v>43970</v>
      </c>
      <c r="C174" s="4"/>
      <c r="D174" s="5" t="s">
        <v>1</v>
      </c>
    </row>
    <row r="175" spans="1:4" ht="12.75">
      <c r="A175" s="6" t="s">
        <v>2</v>
      </c>
      <c r="B175" s="6" t="s">
        <v>3</v>
      </c>
      <c r="C175" s="6" t="s">
        <v>4</v>
      </c>
      <c r="D175" s="6" t="s">
        <v>5</v>
      </c>
    </row>
    <row r="176" spans="1:4" ht="12.75">
      <c r="A176" s="7" t="s">
        <v>3985</v>
      </c>
      <c r="B176" s="8">
        <v>235</v>
      </c>
      <c r="C176" s="9" t="s">
        <v>1630</v>
      </c>
      <c r="D176" s="7">
        <v>2008</v>
      </c>
    </row>
    <row r="177" spans="1:4" ht="12.75">
      <c r="A177" s="10" t="s">
        <v>1631</v>
      </c>
      <c r="B177" s="11">
        <v>209</v>
      </c>
      <c r="C177" s="10"/>
      <c r="D177" s="10">
        <v>2016</v>
      </c>
    </row>
    <row r="178" spans="1:4" ht="12.75">
      <c r="A178" s="7" t="s">
        <v>1632</v>
      </c>
      <c r="B178" s="8">
        <v>156</v>
      </c>
      <c r="C178" s="9" t="s">
        <v>1633</v>
      </c>
      <c r="D178" s="7">
        <v>2011</v>
      </c>
    </row>
    <row r="179" spans="1:4" ht="12.75">
      <c r="A179" s="10" t="s">
        <v>1634</v>
      </c>
      <c r="B179" s="11">
        <v>128</v>
      </c>
      <c r="C179" s="12" t="s">
        <v>1635</v>
      </c>
      <c r="D179" s="10">
        <v>2014</v>
      </c>
    </row>
    <row r="180" spans="1:4" ht="12.75">
      <c r="A180" s="7" t="s">
        <v>1636</v>
      </c>
      <c r="B180" s="8">
        <v>109</v>
      </c>
      <c r="C180" s="9" t="s">
        <v>1635</v>
      </c>
      <c r="D180" s="7">
        <v>2014</v>
      </c>
    </row>
    <row r="181" spans="1:4" ht="12.75">
      <c r="A181" s="10" t="s">
        <v>3986</v>
      </c>
      <c r="B181" s="11">
        <v>105</v>
      </c>
      <c r="C181" s="12" t="s">
        <v>1633</v>
      </c>
      <c r="D181" s="10">
        <v>2011</v>
      </c>
    </row>
    <row r="182" spans="1:4" ht="12.75">
      <c r="A182" s="7" t="s">
        <v>1637</v>
      </c>
      <c r="B182" s="8">
        <v>100</v>
      </c>
      <c r="C182" s="9" t="s">
        <v>1633</v>
      </c>
      <c r="D182" s="7">
        <v>2011</v>
      </c>
    </row>
    <row r="183" spans="1:4" ht="12.75">
      <c r="A183" s="10" t="s">
        <v>1638</v>
      </c>
      <c r="B183" s="11">
        <v>88</v>
      </c>
      <c r="C183" s="12" t="s">
        <v>1633</v>
      </c>
      <c r="D183" s="10">
        <v>2011</v>
      </c>
    </row>
    <row r="184" spans="1:4" ht="12.75">
      <c r="A184" s="7" t="s">
        <v>1639</v>
      </c>
      <c r="B184" s="8">
        <v>73</v>
      </c>
      <c r="C184" s="9" t="s">
        <v>1635</v>
      </c>
      <c r="D184" s="7">
        <v>2014</v>
      </c>
    </row>
    <row r="185" spans="1:4" ht="12.75">
      <c r="A185" s="10" t="s">
        <v>1640</v>
      </c>
      <c r="B185" s="11">
        <v>69</v>
      </c>
      <c r="C185" s="12" t="s">
        <v>1630</v>
      </c>
      <c r="D185" s="10">
        <v>2008</v>
      </c>
    </row>
    <row r="186" spans="1:4" ht="12.75">
      <c r="A186" s="152"/>
      <c r="B186" s="153"/>
      <c r="C186" s="153"/>
      <c r="D186" s="154"/>
    </row>
    <row r="187" spans="1:4" ht="18">
      <c r="A187" s="22" t="str">
        <f>HYPERLINK("https://en.wikipedia.org/wiki/Guided_by_Voices","Guided by Voices")</f>
        <v>Guided by Voices</v>
      </c>
      <c r="B187" s="43">
        <v>42787</v>
      </c>
      <c r="C187" s="24"/>
      <c r="D187" s="24"/>
    </row>
    <row r="188" spans="1:4" ht="12.75">
      <c r="A188" s="26" t="s">
        <v>2</v>
      </c>
      <c r="B188" s="26" t="s">
        <v>3</v>
      </c>
      <c r="C188" s="26" t="s">
        <v>4</v>
      </c>
      <c r="D188" s="26" t="s">
        <v>5</v>
      </c>
    </row>
    <row r="189" spans="1:4" ht="12.75">
      <c r="A189" s="7" t="s">
        <v>1641</v>
      </c>
      <c r="B189" s="8">
        <v>152</v>
      </c>
      <c r="C189" s="9" t="str">
        <f>HYPERLINK("https://en.wikipedia.org/wiki/Alien_Lanes","Alien Lanes")</f>
        <v>Alien Lanes</v>
      </c>
      <c r="D189" s="7">
        <v>1995</v>
      </c>
    </row>
    <row r="190" spans="1:4" ht="12.75">
      <c r="A190" s="27" t="s">
        <v>1642</v>
      </c>
      <c r="B190" s="28">
        <v>91</v>
      </c>
      <c r="C190" s="29" t="str">
        <f t="shared" ref="C190:C194" si="12">HYPERLINK("https://en.wikipedia.org/wiki/Bee_Thousand","Bee Thousand")</f>
        <v>Bee Thousand</v>
      </c>
      <c r="D190" s="27">
        <v>1994</v>
      </c>
    </row>
    <row r="191" spans="1:4" ht="12.75">
      <c r="A191" s="7" t="s">
        <v>1643</v>
      </c>
      <c r="B191" s="8">
        <v>72</v>
      </c>
      <c r="C191" s="9" t="str">
        <f t="shared" si="12"/>
        <v>Bee Thousand</v>
      </c>
      <c r="D191" s="7">
        <v>1994</v>
      </c>
    </row>
    <row r="192" spans="1:4" ht="12.75">
      <c r="A192" s="27" t="s">
        <v>1644</v>
      </c>
      <c r="B192" s="28">
        <v>68</v>
      </c>
      <c r="C192" s="29" t="str">
        <f t="shared" si="12"/>
        <v>Bee Thousand</v>
      </c>
      <c r="D192" s="27">
        <v>1994</v>
      </c>
    </row>
    <row r="193" spans="1:4" ht="12.75">
      <c r="A193" s="7" t="s">
        <v>1645</v>
      </c>
      <c r="B193" s="8">
        <v>61</v>
      </c>
      <c r="C193" s="9" t="str">
        <f t="shared" si="12"/>
        <v>Bee Thousand</v>
      </c>
      <c r="D193" s="7">
        <v>1994</v>
      </c>
    </row>
    <row r="194" spans="1:4" ht="12.75">
      <c r="A194" s="27" t="s">
        <v>1646</v>
      </c>
      <c r="B194" s="28">
        <v>56</v>
      </c>
      <c r="C194" s="29" t="str">
        <f t="shared" si="12"/>
        <v>Bee Thousand</v>
      </c>
      <c r="D194" s="27">
        <v>1994</v>
      </c>
    </row>
    <row r="195" spans="1:4" ht="12.75">
      <c r="A195" s="7" t="s">
        <v>1647</v>
      </c>
      <c r="B195" s="8">
        <v>56</v>
      </c>
      <c r="C195" s="9" t="str">
        <f>HYPERLINK("https://en.wikipedia.org/wiki/Alien_Lanes","Alien Lanes")</f>
        <v>Alien Lanes</v>
      </c>
      <c r="D195" s="7">
        <v>1995</v>
      </c>
    </row>
    <row r="196" spans="1:4" ht="12.75">
      <c r="A196" s="27" t="s">
        <v>1648</v>
      </c>
      <c r="B196" s="28">
        <v>47</v>
      </c>
      <c r="C196" s="29" t="str">
        <f>HYPERLINK("https://en.wikipedia.org/wiki/Propeller_(Guided_by_Voices_album)","Propeller")</f>
        <v>Propeller</v>
      </c>
      <c r="D196" s="27">
        <v>1992</v>
      </c>
    </row>
    <row r="197" spans="1:4" ht="12.75">
      <c r="A197" s="7" t="s">
        <v>1649</v>
      </c>
      <c r="B197" s="8">
        <v>45</v>
      </c>
      <c r="C197" s="9" t="str">
        <f>HYPERLINK("https://en.wikipedia.org/wiki/Alien_Lanes","Alien Lanes")</f>
        <v>Alien Lanes</v>
      </c>
      <c r="D197" s="7">
        <v>1995</v>
      </c>
    </row>
    <row r="198" spans="1:4" ht="12.75">
      <c r="A198" s="27" t="s">
        <v>1650</v>
      </c>
      <c r="B198" s="28">
        <v>40</v>
      </c>
      <c r="C198" s="29" t="str">
        <f>HYPERLINK("https://en.wikipedia.org/wiki/Under_the_Bushes_Under_the_Stars","Under the Bushes Under the Stars")</f>
        <v>Under the Bushes Under the Stars</v>
      </c>
      <c r="D198" s="27">
        <v>1996</v>
      </c>
    </row>
    <row r="199" spans="1:4" ht="12.75">
      <c r="A199" s="152"/>
      <c r="B199" s="153"/>
      <c r="C199" s="153"/>
      <c r="D199" s="154"/>
    </row>
    <row r="200" spans="1:4" ht="18">
      <c r="A200" s="22" t="s">
        <v>1651</v>
      </c>
      <c r="B200" s="30">
        <v>44299</v>
      </c>
      <c r="C200" s="24"/>
      <c r="D200" s="32" t="s">
        <v>1</v>
      </c>
    </row>
    <row r="201" spans="1:4" ht="12.75">
      <c r="A201" s="26" t="s">
        <v>2</v>
      </c>
      <c r="B201" s="26" t="s">
        <v>3</v>
      </c>
      <c r="C201" s="26" t="s">
        <v>4</v>
      </c>
      <c r="D201" s="26" t="s">
        <v>5</v>
      </c>
    </row>
    <row r="202" spans="1:4" ht="12.75">
      <c r="A202" s="7" t="s">
        <v>1652</v>
      </c>
      <c r="B202" s="8">
        <v>206</v>
      </c>
      <c r="C202" s="9" t="s">
        <v>1653</v>
      </c>
      <c r="D202" s="7">
        <v>2020</v>
      </c>
    </row>
    <row r="203" spans="1:4" ht="12.75">
      <c r="A203" s="27" t="s">
        <v>1654</v>
      </c>
      <c r="B203" s="28">
        <v>199</v>
      </c>
      <c r="C203" s="29" t="s">
        <v>1655</v>
      </c>
      <c r="D203" s="27">
        <v>2013</v>
      </c>
    </row>
    <row r="204" spans="1:4" ht="12.75">
      <c r="A204" s="7" t="s">
        <v>1656</v>
      </c>
      <c r="B204" s="8">
        <v>170</v>
      </c>
      <c r="C204" s="9" t="s">
        <v>1653</v>
      </c>
      <c r="D204" s="7">
        <v>2019</v>
      </c>
    </row>
    <row r="205" spans="1:4" ht="12.75">
      <c r="A205" s="27" t="s">
        <v>1657</v>
      </c>
      <c r="B205" s="28">
        <v>168</v>
      </c>
      <c r="C205" s="29" t="s">
        <v>1653</v>
      </c>
      <c r="D205" s="27">
        <v>2019</v>
      </c>
    </row>
    <row r="206" spans="1:4" ht="12.75">
      <c r="A206" s="7" t="s">
        <v>1658</v>
      </c>
      <c r="B206" s="8">
        <v>157</v>
      </c>
      <c r="C206" s="9" t="s">
        <v>1655</v>
      </c>
      <c r="D206" s="7">
        <v>2013</v>
      </c>
    </row>
    <row r="207" spans="1:4" ht="12.75">
      <c r="A207" s="27" t="s">
        <v>1659</v>
      </c>
      <c r="B207" s="28">
        <v>138</v>
      </c>
      <c r="C207" s="29" t="s">
        <v>1653</v>
      </c>
      <c r="D207" s="27">
        <v>2020</v>
      </c>
    </row>
    <row r="208" spans="1:4" ht="12.75">
      <c r="A208" s="7" t="s">
        <v>1660</v>
      </c>
      <c r="B208" s="8">
        <v>126</v>
      </c>
      <c r="C208" s="9" t="s">
        <v>1653</v>
      </c>
      <c r="D208" s="7">
        <v>2020</v>
      </c>
    </row>
    <row r="209" spans="1:4" ht="12.75">
      <c r="A209" s="27" t="s">
        <v>1661</v>
      </c>
      <c r="B209" s="28">
        <v>123</v>
      </c>
      <c r="C209" s="29" t="s">
        <v>1662</v>
      </c>
      <c r="D209" s="27">
        <v>2017</v>
      </c>
    </row>
    <row r="210" spans="1:4" ht="12.75">
      <c r="A210" s="7" t="s">
        <v>1663</v>
      </c>
      <c r="B210" s="8">
        <v>119</v>
      </c>
      <c r="C210" s="9" t="s">
        <v>1655</v>
      </c>
      <c r="D210" s="7">
        <v>2013</v>
      </c>
    </row>
    <row r="211" spans="1:4" ht="12.75">
      <c r="A211" s="27" t="s">
        <v>44</v>
      </c>
      <c r="B211" s="28">
        <v>115</v>
      </c>
      <c r="C211" s="29" t="s">
        <v>1655</v>
      </c>
      <c r="D211" s="27">
        <v>2012</v>
      </c>
    </row>
    <row r="212" spans="1:4" ht="12.75">
      <c r="A212" s="152"/>
      <c r="B212" s="153"/>
      <c r="C212" s="153"/>
      <c r="D212" s="154"/>
    </row>
    <row r="213" spans="1:4" ht="18">
      <c r="A213" s="22" t="s">
        <v>1664</v>
      </c>
      <c r="B213" s="30">
        <v>44005</v>
      </c>
      <c r="C213" s="24"/>
      <c r="D213" s="32" t="s">
        <v>1</v>
      </c>
    </row>
    <row r="214" spans="1:4" ht="12.75">
      <c r="A214" s="26" t="s">
        <v>2</v>
      </c>
      <c r="B214" s="26" t="s">
        <v>3</v>
      </c>
      <c r="C214" s="26" t="s">
        <v>4</v>
      </c>
      <c r="D214" s="26" t="s">
        <v>5</v>
      </c>
    </row>
    <row r="215" spans="1:4" ht="12.75">
      <c r="A215" s="7" t="s">
        <v>1665</v>
      </c>
      <c r="B215" s="8">
        <v>260</v>
      </c>
      <c r="C215" s="9" t="s">
        <v>1666</v>
      </c>
      <c r="D215" s="7">
        <v>2008</v>
      </c>
    </row>
    <row r="216" spans="1:4" ht="12.75">
      <c r="A216" s="27" t="s">
        <v>1667</v>
      </c>
      <c r="B216" s="28">
        <v>245</v>
      </c>
      <c r="C216" s="29" t="s">
        <v>1666</v>
      </c>
      <c r="D216" s="27">
        <v>2008</v>
      </c>
    </row>
    <row r="217" spans="1:4" ht="12.75">
      <c r="A217" s="7" t="s">
        <v>1668</v>
      </c>
      <c r="B217" s="8">
        <v>169</v>
      </c>
      <c r="C217" s="9" t="s">
        <v>1666</v>
      </c>
      <c r="D217" s="7">
        <v>2008</v>
      </c>
    </row>
    <row r="218" spans="1:4" ht="12.75">
      <c r="A218" s="27" t="s">
        <v>1669</v>
      </c>
      <c r="B218" s="28">
        <v>168</v>
      </c>
      <c r="C218" s="29" t="s">
        <v>1666</v>
      </c>
      <c r="D218" s="27">
        <v>2008</v>
      </c>
    </row>
    <row r="219" spans="1:4" ht="12.75">
      <c r="A219" s="7" t="s">
        <v>1670</v>
      </c>
      <c r="B219" s="8">
        <v>164</v>
      </c>
      <c r="C219" s="9" t="s">
        <v>1666</v>
      </c>
      <c r="D219" s="7">
        <v>2008</v>
      </c>
    </row>
    <row r="220" spans="1:4" ht="12.75">
      <c r="A220" s="27" t="s">
        <v>1671</v>
      </c>
      <c r="B220" s="28">
        <v>126</v>
      </c>
      <c r="C220" s="29" t="s">
        <v>1666</v>
      </c>
      <c r="D220" s="27">
        <v>2008</v>
      </c>
    </row>
    <row r="221" spans="1:4" ht="12.75">
      <c r="A221" s="7" t="s">
        <v>1672</v>
      </c>
      <c r="B221" s="8">
        <v>124</v>
      </c>
      <c r="C221" s="9" t="s">
        <v>1666</v>
      </c>
      <c r="D221" s="7">
        <v>2008</v>
      </c>
    </row>
    <row r="222" spans="1:4" ht="12.75">
      <c r="A222" s="27" t="s">
        <v>1673</v>
      </c>
      <c r="B222" s="28">
        <v>118</v>
      </c>
      <c r="C222" s="29" t="s">
        <v>1666</v>
      </c>
      <c r="D222" s="27">
        <v>2008</v>
      </c>
    </row>
    <row r="223" spans="1:4" ht="12.75">
      <c r="A223" s="7" t="s">
        <v>1674</v>
      </c>
      <c r="B223" s="8">
        <v>106</v>
      </c>
      <c r="C223" s="9" t="s">
        <v>1675</v>
      </c>
      <c r="D223" s="7">
        <v>2014</v>
      </c>
    </row>
    <row r="224" spans="1:4" ht="12.75">
      <c r="A224" s="27" t="s">
        <v>1676</v>
      </c>
      <c r="B224" s="28">
        <v>88</v>
      </c>
      <c r="C224" s="29" t="s">
        <v>1666</v>
      </c>
      <c r="D224" s="27">
        <v>2008</v>
      </c>
    </row>
    <row r="225" spans="1:4" ht="12.75">
      <c r="A225" s="152"/>
      <c r="B225" s="153"/>
      <c r="C225" s="153"/>
      <c r="D225" s="154"/>
    </row>
    <row r="226" spans="1:4" ht="18">
      <c r="A226" s="22" t="str">
        <f>HYPERLINK("https://www.reddit.com/r/indieheads/comments/ebus9d/top_ten_tuesday_the_hold_steady/","The Hold Steady")</f>
        <v>The Hold Steady</v>
      </c>
      <c r="B226" s="43">
        <v>43816</v>
      </c>
      <c r="C226" s="24"/>
      <c r="D226" s="32" t="s">
        <v>1</v>
      </c>
    </row>
    <row r="227" spans="1:4" ht="12.75">
      <c r="A227" s="26" t="s">
        <v>2</v>
      </c>
      <c r="B227" s="26" t="s">
        <v>3</v>
      </c>
      <c r="C227" s="26" t="s">
        <v>4</v>
      </c>
      <c r="D227" s="26" t="s">
        <v>5</v>
      </c>
    </row>
    <row r="228" spans="1:4" ht="12.75">
      <c r="A228" s="7" t="s">
        <v>1677</v>
      </c>
      <c r="B228" s="8">
        <v>191</v>
      </c>
      <c r="C228" s="9" t="str">
        <f>HYPERLINK("https://en.wikipedia.org/wiki/Boys_and_Girls_in_America","Boys and Girls in America")</f>
        <v>Boys and Girls in America</v>
      </c>
      <c r="D228" s="7">
        <v>2006</v>
      </c>
    </row>
    <row r="229" spans="1:4" ht="12.75">
      <c r="A229" s="27" t="s">
        <v>1678</v>
      </c>
      <c r="B229" s="28">
        <v>123</v>
      </c>
      <c r="C229" s="29" t="str">
        <f t="shared" ref="C229:C230" si="13">HYPERLINK("https://en.wikipedia.org/wiki/Separation_Sunday","Separation Sunday")</f>
        <v>Separation Sunday</v>
      </c>
      <c r="D229" s="27">
        <v>2005</v>
      </c>
    </row>
    <row r="230" spans="1:4" ht="12.75">
      <c r="A230" s="7" t="s">
        <v>1679</v>
      </c>
      <c r="B230" s="8">
        <v>98</v>
      </c>
      <c r="C230" s="9" t="str">
        <f t="shared" si="13"/>
        <v>Separation Sunday</v>
      </c>
      <c r="D230" s="7">
        <v>2005</v>
      </c>
    </row>
    <row r="231" spans="1:4" ht="12.75">
      <c r="A231" s="27" t="s">
        <v>1680</v>
      </c>
      <c r="B231" s="28">
        <v>90</v>
      </c>
      <c r="C231" s="29" t="str">
        <f>HYPERLINK("https://en.wikipedia.org/wiki/Stay_Positive_(album)","Stay Positive")</f>
        <v>Stay Positive</v>
      </c>
      <c r="D231" s="27">
        <v>2008</v>
      </c>
    </row>
    <row r="232" spans="1:4" ht="12.75">
      <c r="A232" s="7" t="s">
        <v>1681</v>
      </c>
      <c r="B232" s="8">
        <v>72</v>
      </c>
      <c r="C232" s="9" t="str">
        <f>HYPERLINK("https://en.wikipedia.org/wiki/Almost_Killed_Me","Almost Killed Me")</f>
        <v>Almost Killed Me</v>
      </c>
      <c r="D232" s="7">
        <v>2004</v>
      </c>
    </row>
    <row r="233" spans="1:4" ht="12.75">
      <c r="A233" s="27" t="s">
        <v>1682</v>
      </c>
      <c r="B233" s="28">
        <v>70</v>
      </c>
      <c r="C233" s="29" t="str">
        <f>HYPERLINK("https://en.wikipedia.org/wiki/Boys_and_Girls_in_America","Boys and Girls in America")</f>
        <v>Boys and Girls in America</v>
      </c>
      <c r="D233" s="27">
        <v>2006</v>
      </c>
    </row>
    <row r="234" spans="1:4" ht="12.75">
      <c r="A234" s="7" t="s">
        <v>1683</v>
      </c>
      <c r="B234" s="8">
        <v>64</v>
      </c>
      <c r="C234" s="9" t="str">
        <f>HYPERLINK("https://en.wikipedia.org/wiki/Separation_Sunday","Separation Sunday")</f>
        <v>Separation Sunday</v>
      </c>
      <c r="D234" s="7">
        <v>2005</v>
      </c>
    </row>
    <row r="235" spans="1:4" ht="12.75">
      <c r="A235" s="27" t="s">
        <v>1684</v>
      </c>
      <c r="B235" s="28">
        <v>54</v>
      </c>
      <c r="C235" s="29" t="str">
        <f>HYPERLINK("https://en.wikipedia.org/wiki/Stay_Positive_(album)","Stay Positive")</f>
        <v>Stay Positive</v>
      </c>
      <c r="D235" s="27">
        <v>2008</v>
      </c>
    </row>
    <row r="236" spans="1:4" ht="12.75">
      <c r="A236" s="7" t="s">
        <v>1685</v>
      </c>
      <c r="B236" s="8">
        <v>51</v>
      </c>
      <c r="C236" s="9" t="str">
        <f t="shared" ref="C236:C237" si="14">HYPERLINK("https://en.wikipedia.org/wiki/Separation_Sunday","Separation Sunday")</f>
        <v>Separation Sunday</v>
      </c>
      <c r="D236" s="7">
        <v>2005</v>
      </c>
    </row>
    <row r="237" spans="1:4" ht="12.75">
      <c r="A237" s="27" t="s">
        <v>1686</v>
      </c>
      <c r="B237" s="28">
        <v>49</v>
      </c>
      <c r="C237" s="29" t="str">
        <f t="shared" si="14"/>
        <v>Separation Sunday</v>
      </c>
      <c r="D237" s="27">
        <v>2005</v>
      </c>
    </row>
    <row r="238" spans="1:4" ht="12.75">
      <c r="A238" s="152"/>
      <c r="B238" s="153"/>
      <c r="C238" s="153"/>
      <c r="D238" s="154"/>
    </row>
    <row r="239" spans="1:4" ht="18">
      <c r="A239" s="22" t="str">
        <f>HYPERLINK("https://www.reddit.com/r/indieheads/comments/d5f73z/top_ten_tuesday_hop_along/","Hop Along")</f>
        <v>Hop Along</v>
      </c>
      <c r="B239" s="30">
        <v>43725</v>
      </c>
      <c r="C239" s="24"/>
      <c r="D239" s="32" t="s">
        <v>1</v>
      </c>
    </row>
    <row r="240" spans="1:4" ht="12.75">
      <c r="A240" s="26" t="s">
        <v>2</v>
      </c>
      <c r="B240" s="26" t="s">
        <v>3</v>
      </c>
      <c r="C240" s="26" t="s">
        <v>4</v>
      </c>
      <c r="D240" s="26" t="s">
        <v>5</v>
      </c>
    </row>
    <row r="241" spans="1:4" ht="12.75">
      <c r="A241" s="7" t="s">
        <v>1687</v>
      </c>
      <c r="B241" s="8">
        <v>224</v>
      </c>
      <c r="C241" s="9" t="str">
        <f>HYPERLINK("https://en.wikipedia.org/wiki/Bark_Your_Head_Off,_Dog","Bark Your Head Off, Dog")</f>
        <v>Bark Your Head Off, Dog</v>
      </c>
      <c r="D241" s="7">
        <v>2018</v>
      </c>
    </row>
    <row r="242" spans="1:4" ht="12.75">
      <c r="A242" s="27" t="s">
        <v>1688</v>
      </c>
      <c r="B242" s="28">
        <v>200</v>
      </c>
      <c r="C242" s="29" t="str">
        <f>HYPERLINK("https://en.wikipedia.org/wiki/Get_Disowned","Get Disowned")</f>
        <v>Get Disowned</v>
      </c>
      <c r="D242" s="27">
        <v>2012</v>
      </c>
    </row>
    <row r="243" spans="1:4" ht="12.75">
      <c r="A243" s="7" t="s">
        <v>1689</v>
      </c>
      <c r="B243" s="8">
        <v>191</v>
      </c>
      <c r="C243" s="9" t="str">
        <f>HYPERLINK("https://en.wikipedia.org/wiki/Painted_Shut","Painted Shut")</f>
        <v>Painted Shut</v>
      </c>
      <c r="D243" s="7">
        <v>2015</v>
      </c>
    </row>
    <row r="244" spans="1:4" ht="12.75">
      <c r="A244" s="27" t="s">
        <v>1690</v>
      </c>
      <c r="B244" s="28">
        <v>184</v>
      </c>
      <c r="C244" s="29" t="str">
        <f t="shared" ref="C244:C245" si="15">HYPERLINK("https://en.wikipedia.org/wiki/Bark_Your_Head_Off,_Dog","Bark Your Head Off, Dog")</f>
        <v>Bark Your Head Off, Dog</v>
      </c>
      <c r="D244" s="27">
        <v>2018</v>
      </c>
    </row>
    <row r="245" spans="1:4" ht="12.75">
      <c r="A245" s="7" t="s">
        <v>1691</v>
      </c>
      <c r="B245" s="8">
        <v>136</v>
      </c>
      <c r="C245" s="9" t="str">
        <f t="shared" si="15"/>
        <v>Bark Your Head Off, Dog</v>
      </c>
      <c r="D245" s="7">
        <v>2018</v>
      </c>
    </row>
    <row r="246" spans="1:4" ht="12.75">
      <c r="A246" s="27" t="s">
        <v>1692</v>
      </c>
      <c r="B246" s="28">
        <v>134</v>
      </c>
      <c r="C246" s="29" t="str">
        <f t="shared" ref="C246:C249" si="16">HYPERLINK("https://en.wikipedia.org/wiki/Painted_Shut","Painted Shut")</f>
        <v>Painted Shut</v>
      </c>
      <c r="D246" s="27">
        <v>2015</v>
      </c>
    </row>
    <row r="247" spans="1:4" ht="12.75">
      <c r="A247" s="7" t="s">
        <v>1693</v>
      </c>
      <c r="B247" s="8">
        <v>125</v>
      </c>
      <c r="C247" s="9" t="str">
        <f t="shared" si="16"/>
        <v>Painted Shut</v>
      </c>
      <c r="D247" s="7">
        <v>2015</v>
      </c>
    </row>
    <row r="248" spans="1:4" ht="12.75">
      <c r="A248" s="27" t="s">
        <v>1694</v>
      </c>
      <c r="B248" s="28">
        <v>110</v>
      </c>
      <c r="C248" s="29" t="str">
        <f t="shared" si="16"/>
        <v>Painted Shut</v>
      </c>
      <c r="D248" s="27">
        <v>2015</v>
      </c>
    </row>
    <row r="249" spans="1:4" ht="12.75">
      <c r="A249" s="7" t="s">
        <v>1695</v>
      </c>
      <c r="B249" s="8">
        <v>102</v>
      </c>
      <c r="C249" s="9" t="str">
        <f t="shared" si="16"/>
        <v>Painted Shut</v>
      </c>
      <c r="D249" s="7">
        <v>2015</v>
      </c>
    </row>
    <row r="250" spans="1:4" ht="12.75">
      <c r="A250" s="27" t="s">
        <v>1696</v>
      </c>
      <c r="B250" s="28">
        <v>81</v>
      </c>
      <c r="C250" s="29" t="str">
        <f>HYPERLINK("https://en.wikipedia.org/wiki/Bark_Your_Head_Off,_Dog","Bark Your Head Off, Dog")</f>
        <v>Bark Your Head Off, Dog</v>
      </c>
      <c r="D250" s="27">
        <v>2018</v>
      </c>
    </row>
    <row r="251" spans="1:4" ht="12.75">
      <c r="A251" s="152"/>
      <c r="B251" s="153"/>
      <c r="C251" s="153"/>
      <c r="D251" s="154"/>
    </row>
    <row r="252" spans="1:4" ht="18">
      <c r="A252" s="22" t="str">
        <f>HYPERLINK("https://www.reddit.com/r/indieheads/comments/4sj8da/top_ten_tuesday_hot_chip/","Hot Chip")</f>
        <v>Hot Chip</v>
      </c>
      <c r="B252" s="43">
        <v>42563</v>
      </c>
      <c r="C252" s="24"/>
      <c r="D252" s="24"/>
    </row>
    <row r="253" spans="1:4" ht="12.75">
      <c r="A253" s="26" t="s">
        <v>2</v>
      </c>
      <c r="B253" s="26" t="s">
        <v>3</v>
      </c>
      <c r="C253" s="26" t="s">
        <v>4</v>
      </c>
      <c r="D253" s="26" t="s">
        <v>5</v>
      </c>
    </row>
    <row r="254" spans="1:4" ht="12.75">
      <c r="A254" s="9" t="str">
        <f>HYPERLINK("https://www.youtube.com/watch?v=oo2lCREilQw","Flutes")</f>
        <v>Flutes</v>
      </c>
      <c r="B254" s="8">
        <v>181</v>
      </c>
      <c r="C254" s="9" t="str">
        <f>HYPERLINK("https://en.wikipedia.org/wiki/In_Our_Heads","In Our Heads")</f>
        <v>In Our Heads</v>
      </c>
      <c r="D254" s="7">
        <v>2012</v>
      </c>
    </row>
    <row r="255" spans="1:4" ht="12.75">
      <c r="A255" s="29" t="str">
        <f>HYPERLINK("https://www.youtube.com/watch?v=yhASu2OjEcQ","Ready for the Floor")</f>
        <v>Ready for the Floor</v>
      </c>
      <c r="B255" s="28">
        <v>169</v>
      </c>
      <c r="C255" s="29" t="str">
        <f>HYPERLINK("https://en.wikipedia.org/wiki/Made_in_the_Dark","Made in the Dark")</f>
        <v>Made in the Dark</v>
      </c>
      <c r="D255" s="27">
        <v>2008</v>
      </c>
    </row>
    <row r="256" spans="1:4" ht="12.75">
      <c r="A256" s="9" t="str">
        <f>HYPERLINK("https://www.youtube.com/watch?v=j21l4LEtHbA","Boy From School")</f>
        <v>Boy From School</v>
      </c>
      <c r="B256" s="8">
        <v>164</v>
      </c>
      <c r="C256" s="9" t="str">
        <f t="shared" ref="C256:C257" si="17">HYPERLINK("https://en.wikipedia.org/wiki/The_Warning_(Hot_Chip_album)","The Warning")</f>
        <v>The Warning</v>
      </c>
      <c r="D256" s="7">
        <v>2006</v>
      </c>
    </row>
    <row r="257" spans="1:4" ht="12.75">
      <c r="A257" s="29" t="str">
        <f>HYPERLINK("https://www.youtube.com/watch?v=Z6GDggWPMQk","Over and Over")</f>
        <v>Over and Over</v>
      </c>
      <c r="B257" s="28">
        <v>159</v>
      </c>
      <c r="C257" s="29" t="str">
        <f t="shared" si="17"/>
        <v>The Warning</v>
      </c>
      <c r="D257" s="27">
        <v>2006</v>
      </c>
    </row>
    <row r="258" spans="1:4" ht="12.75">
      <c r="A258" s="9" t="str">
        <f>HYPERLINK("https://www.youtube.com/watch?v=MNqutR1IvCw","One Life Stand")</f>
        <v>One Life Stand</v>
      </c>
      <c r="B258" s="8">
        <v>111</v>
      </c>
      <c r="C258" s="9" t="str">
        <f t="shared" ref="C258:C259" si="18">HYPERLINK("https://en.wikipedia.org/wiki/One_Life_Stand","One Life Stand")</f>
        <v>One Life Stand</v>
      </c>
      <c r="D258" s="7">
        <v>2009</v>
      </c>
    </row>
    <row r="259" spans="1:4" ht="12.75">
      <c r="A259" s="29" t="str">
        <f>HYPERLINK("https://www.youtube.com/watch?v=_Wek31BCezw","I Feel Better")</f>
        <v>I Feel Better</v>
      </c>
      <c r="B259" s="28">
        <v>104</v>
      </c>
      <c r="C259" s="29" t="str">
        <f t="shared" si="18"/>
        <v>One Life Stand</v>
      </c>
      <c r="D259" s="27">
        <v>2010</v>
      </c>
    </row>
    <row r="260" spans="1:4" ht="12.75">
      <c r="A260" s="9" t="str">
        <f>HYPERLINK("https://www.youtube.com/watch?v=9S0ONyRctyE","Huarache Lights")</f>
        <v>Huarache Lights</v>
      </c>
      <c r="B260" s="8">
        <v>87</v>
      </c>
      <c r="C260" s="9" t="str">
        <f t="shared" ref="C260:C261" si="19">HYPERLINK("https://en.wikipedia.org/wiki/Why_Make_Sense%3F","Why Make Sense?")</f>
        <v>Why Make Sense?</v>
      </c>
      <c r="D260" s="7">
        <v>2015</v>
      </c>
    </row>
    <row r="261" spans="1:4" ht="12.75">
      <c r="A261" s="29" t="str">
        <f>HYPERLINK("https://www.youtube.com/watch?v=lfH5LmhvQQk","Need You Now")</f>
        <v>Need You Now</v>
      </c>
      <c r="B261" s="28">
        <v>65</v>
      </c>
      <c r="C261" s="29" t="str">
        <f t="shared" si="19"/>
        <v>Why Make Sense?</v>
      </c>
      <c r="D261" s="27">
        <v>2015</v>
      </c>
    </row>
    <row r="262" spans="1:4" ht="12.75">
      <c r="A262" s="9" t="str">
        <f>HYPERLINK("https://www.youtube.com/watch?v=fxg2JbWA7Nk","Night &amp; Day")</f>
        <v>Night &amp; Day</v>
      </c>
      <c r="B262" s="8">
        <v>58</v>
      </c>
      <c r="C262" s="9" t="str">
        <f t="shared" ref="C262:C263" si="20">HYPERLINK("https://en.wikipedia.org/wiki/In_Our_Heads","In Our Heads")</f>
        <v>In Our Heads</v>
      </c>
      <c r="D262" s="7">
        <v>2012</v>
      </c>
    </row>
    <row r="263" spans="1:4" ht="12.75">
      <c r="A263" s="29" t="str">
        <f>HYPERLINK("https://www.youtube.com/watch?v=DzicDSTsahc","Let Me Be Him")</f>
        <v>Let Me Be Him</v>
      </c>
      <c r="B263" s="28">
        <v>48</v>
      </c>
      <c r="C263" s="29" t="str">
        <f t="shared" si="20"/>
        <v>In Our Heads</v>
      </c>
      <c r="D263" s="27">
        <v>2012</v>
      </c>
    </row>
    <row r="264" spans="1:4" ht="12.75">
      <c r="A264" s="152"/>
      <c r="B264" s="153"/>
      <c r="C264" s="153"/>
      <c r="D264" s="154"/>
    </row>
    <row r="265" spans="1:4" ht="18">
      <c r="A265" s="82" t="s">
        <v>1697</v>
      </c>
      <c r="B265" s="30">
        <v>43382</v>
      </c>
      <c r="C265" s="24"/>
      <c r="D265" s="32" t="s">
        <v>1</v>
      </c>
    </row>
    <row r="266" spans="1:4" ht="12.75">
      <c r="A266" s="26" t="s">
        <v>2</v>
      </c>
      <c r="B266" s="26" t="s">
        <v>3</v>
      </c>
      <c r="C266" s="26" t="s">
        <v>4</v>
      </c>
      <c r="D266" s="26" t="s">
        <v>5</v>
      </c>
    </row>
    <row r="267" spans="1:4" ht="12.75">
      <c r="A267" s="7" t="s">
        <v>1698</v>
      </c>
      <c r="B267" s="8">
        <v>113</v>
      </c>
      <c r="C267" s="9" t="str">
        <f>HYPERLINK("https://en.wikipedia.org/wiki/Candy_Apple_Grey","Candy Apple Grey")</f>
        <v>Candy Apple Grey</v>
      </c>
      <c r="D267" s="7">
        <v>1986</v>
      </c>
    </row>
    <row r="268" spans="1:4" ht="12.75">
      <c r="A268" s="27" t="s">
        <v>1699</v>
      </c>
      <c r="B268" s="28">
        <v>107</v>
      </c>
      <c r="C268" s="29" t="str">
        <f>HYPERLINK("https://en.wikipedia.org/wiki/New_Day_Rising","New Day Rising")</f>
        <v>New Day Rising</v>
      </c>
      <c r="D268" s="27">
        <v>1985</v>
      </c>
    </row>
    <row r="269" spans="1:4" ht="12.75">
      <c r="A269" s="7" t="s">
        <v>1700</v>
      </c>
      <c r="B269" s="8">
        <v>99</v>
      </c>
      <c r="C269" s="9" t="str">
        <f>HYPERLINK("https://en.wikipedia.org/wiki/Zen_Arcade","Zen Arcade")</f>
        <v>Zen Arcade</v>
      </c>
      <c r="D269" s="7">
        <v>1984</v>
      </c>
    </row>
    <row r="270" spans="1:4" ht="12.75">
      <c r="A270" s="27" t="s">
        <v>1701</v>
      </c>
      <c r="B270" s="28">
        <v>61</v>
      </c>
      <c r="C270" s="29" t="str">
        <f>HYPERLINK("https://en.wikipedia.org/wiki/Flip_Your_Wig","Flip Your Wig")</f>
        <v>Flip Your Wig</v>
      </c>
      <c r="D270" s="27">
        <v>1985</v>
      </c>
    </row>
    <row r="271" spans="1:4" ht="12.75">
      <c r="A271" s="7" t="s">
        <v>1702</v>
      </c>
      <c r="B271" s="8">
        <v>60</v>
      </c>
      <c r="C271" s="9" t="str">
        <f>HYPERLINK("https://en.wikipedia.org/wiki/New_Day_Rising","New Day Rising")</f>
        <v>New Day Rising</v>
      </c>
      <c r="D271" s="7">
        <v>1985</v>
      </c>
    </row>
    <row r="272" spans="1:4" ht="12.75">
      <c r="A272" s="27" t="s">
        <v>1703</v>
      </c>
      <c r="B272" s="28">
        <v>56</v>
      </c>
      <c r="C272" s="29" t="str">
        <f>HYPERLINK("https://en.wikipedia.org/wiki/Zen_Arcade","Zen Arcade")</f>
        <v>Zen Arcade</v>
      </c>
      <c r="D272" s="27">
        <v>1984</v>
      </c>
    </row>
    <row r="273" spans="1:4" ht="12.75">
      <c r="A273" s="7" t="s">
        <v>1704</v>
      </c>
      <c r="B273" s="8">
        <v>51</v>
      </c>
      <c r="C273" s="9" t="str">
        <f>HYPERLINK("https://en.wikipedia.org/wiki/New_Day_Rising","New Day Rising")</f>
        <v>New Day Rising</v>
      </c>
      <c r="D273" s="7">
        <v>1985</v>
      </c>
    </row>
    <row r="274" spans="1:4" ht="12.75">
      <c r="A274" s="27" t="s">
        <v>1705</v>
      </c>
      <c r="B274" s="28">
        <v>48</v>
      </c>
      <c r="C274" s="29" t="str">
        <f>HYPERLINK("https://en.wikipedia.org/wiki/Zen_Arcade","Zen Arcade")</f>
        <v>Zen Arcade</v>
      </c>
      <c r="D274" s="27">
        <v>1984</v>
      </c>
    </row>
    <row r="275" spans="1:4" ht="12.75">
      <c r="A275" s="7" t="s">
        <v>1706</v>
      </c>
      <c r="B275" s="8">
        <v>41</v>
      </c>
      <c r="C275" s="9" t="str">
        <f>HYPERLINK("https://en.wikipedia.org/wiki/Flip_Your_Wig","Flip Your Wig")</f>
        <v>Flip Your Wig</v>
      </c>
      <c r="D275" s="7">
        <v>1985</v>
      </c>
    </row>
    <row r="276" spans="1:4" ht="12.75">
      <c r="A276" s="27" t="s">
        <v>1707</v>
      </c>
      <c r="B276" s="28">
        <v>39</v>
      </c>
      <c r="C276" s="29" t="str">
        <f>HYPERLINK("https://en.wikipedia.org/wiki/Zen_Arcade","Zen Arcade")</f>
        <v>Zen Arcade</v>
      </c>
      <c r="D276" s="27">
        <v>1984</v>
      </c>
    </row>
    <row r="277" spans="1:4" ht="12.75">
      <c r="A277" s="152"/>
      <c r="B277" s="153"/>
      <c r="C277" s="153"/>
      <c r="D277" s="154"/>
    </row>
    <row r="278" spans="1:4" ht="18">
      <c r="A278" s="22" t="s">
        <v>1708</v>
      </c>
      <c r="B278" s="30">
        <v>44019</v>
      </c>
      <c r="C278" s="24"/>
      <c r="D278" s="32" t="s">
        <v>1</v>
      </c>
    </row>
    <row r="279" spans="1:4" ht="12.75">
      <c r="A279" s="26" t="s">
        <v>2</v>
      </c>
      <c r="B279" s="26" t="s">
        <v>3</v>
      </c>
      <c r="C279" s="26" t="s">
        <v>4</v>
      </c>
      <c r="D279" s="26" t="s">
        <v>5</v>
      </c>
    </row>
    <row r="280" spans="1:4" ht="12.75">
      <c r="A280" s="7" t="s">
        <v>1709</v>
      </c>
      <c r="B280" s="8">
        <v>123</v>
      </c>
      <c r="C280" s="9" t="s">
        <v>1710</v>
      </c>
      <c r="D280" s="7">
        <v>2014</v>
      </c>
    </row>
    <row r="281" spans="1:4" ht="12.75">
      <c r="A281" s="27" t="s">
        <v>1710</v>
      </c>
      <c r="B281" s="28">
        <v>113</v>
      </c>
      <c r="C281" s="29" t="s">
        <v>1710</v>
      </c>
      <c r="D281" s="27">
        <v>2014</v>
      </c>
    </row>
    <row r="282" spans="1:4" ht="12.75">
      <c r="A282" s="7" t="s">
        <v>1711</v>
      </c>
      <c r="B282" s="8">
        <v>109</v>
      </c>
      <c r="C282" s="9" t="s">
        <v>1712</v>
      </c>
      <c r="D282" s="7">
        <v>2018</v>
      </c>
    </row>
    <row r="283" spans="1:4" ht="12.75">
      <c r="A283" s="27" t="s">
        <v>1713</v>
      </c>
      <c r="B283" s="28">
        <v>105</v>
      </c>
      <c r="C283" s="29" t="s">
        <v>1714</v>
      </c>
      <c r="D283" s="27">
        <v>2013</v>
      </c>
    </row>
    <row r="284" spans="1:4" ht="12.75">
      <c r="A284" s="7" t="s">
        <v>1715</v>
      </c>
      <c r="B284" s="8">
        <v>103</v>
      </c>
      <c r="C284" s="9" t="s">
        <v>1710</v>
      </c>
      <c r="D284" s="7">
        <v>2014</v>
      </c>
    </row>
    <row r="285" spans="1:4" ht="12.75">
      <c r="A285" s="27" t="s">
        <v>1716</v>
      </c>
      <c r="B285" s="28">
        <v>100</v>
      </c>
      <c r="C285" s="29" t="s">
        <v>1710</v>
      </c>
      <c r="D285" s="27">
        <v>2014</v>
      </c>
    </row>
    <row r="286" spans="1:4" ht="12.75">
      <c r="A286" s="7" t="s">
        <v>1717</v>
      </c>
      <c r="B286" s="8">
        <v>99</v>
      </c>
      <c r="C286" s="9" t="s">
        <v>1710</v>
      </c>
      <c r="D286" s="7">
        <v>2014</v>
      </c>
    </row>
    <row r="287" spans="1:4" ht="12.75">
      <c r="A287" s="27" t="s">
        <v>1718</v>
      </c>
      <c r="B287" s="28">
        <v>89</v>
      </c>
      <c r="C287" s="29" t="s">
        <v>1712</v>
      </c>
      <c r="D287" s="27">
        <v>2018</v>
      </c>
    </row>
    <row r="288" spans="1:4" ht="12.75">
      <c r="A288" s="7" t="s">
        <v>44</v>
      </c>
      <c r="B288" s="8">
        <v>89</v>
      </c>
      <c r="C288" s="9" t="s">
        <v>1710</v>
      </c>
      <c r="D288" s="7">
        <v>2014</v>
      </c>
    </row>
    <row r="289" spans="1:4" ht="12.75">
      <c r="A289" s="27" t="s">
        <v>1719</v>
      </c>
      <c r="B289" s="28">
        <v>68</v>
      </c>
      <c r="C289" s="29" t="s">
        <v>1714</v>
      </c>
      <c r="D289" s="27">
        <v>2013</v>
      </c>
    </row>
    <row r="290" spans="1:4" ht="12.75">
      <c r="A290" s="152"/>
      <c r="B290" s="153"/>
      <c r="C290" s="153"/>
      <c r="D290" s="154"/>
    </row>
    <row r="291" spans="1:4" ht="18">
      <c r="A291" s="22" t="s">
        <v>1720</v>
      </c>
      <c r="B291" s="30">
        <v>44229</v>
      </c>
      <c r="C291" s="31"/>
      <c r="D291" s="32" t="s">
        <v>1</v>
      </c>
    </row>
    <row r="292" spans="1:4" ht="12.75">
      <c r="A292" s="26" t="s">
        <v>2</v>
      </c>
      <c r="B292" s="26" t="s">
        <v>3</v>
      </c>
      <c r="C292" s="26" t="s">
        <v>4</v>
      </c>
      <c r="D292" s="26" t="s">
        <v>5</v>
      </c>
    </row>
    <row r="293" spans="1:4" ht="12.75">
      <c r="A293" s="7" t="s">
        <v>1721</v>
      </c>
      <c r="B293" s="8">
        <v>426</v>
      </c>
      <c r="C293" s="9" t="s">
        <v>1722</v>
      </c>
      <c r="D293" s="7">
        <v>2018</v>
      </c>
    </row>
    <row r="294" spans="1:4" ht="12.75">
      <c r="A294" s="27" t="s">
        <v>1723</v>
      </c>
      <c r="B294" s="28">
        <v>425</v>
      </c>
      <c r="C294" s="29" t="s">
        <v>1722</v>
      </c>
      <c r="D294" s="27">
        <v>2018</v>
      </c>
    </row>
    <row r="295" spans="1:4" ht="12.75">
      <c r="A295" s="7" t="s">
        <v>1724</v>
      </c>
      <c r="B295" s="8">
        <v>354</v>
      </c>
      <c r="C295" s="9" t="s">
        <v>1725</v>
      </c>
      <c r="D295" s="7">
        <v>2017</v>
      </c>
    </row>
    <row r="296" spans="1:4" ht="12.75">
      <c r="A296" s="27" t="s">
        <v>1726</v>
      </c>
      <c r="B296" s="28">
        <v>351</v>
      </c>
      <c r="C296" s="29" t="s">
        <v>1722</v>
      </c>
      <c r="D296" s="27">
        <v>2018</v>
      </c>
    </row>
    <row r="297" spans="1:4" ht="12.75">
      <c r="A297" s="7" t="s">
        <v>1727</v>
      </c>
      <c r="B297" s="8">
        <v>212</v>
      </c>
      <c r="C297" s="9" t="s">
        <v>1722</v>
      </c>
      <c r="D297" s="7">
        <v>2018</v>
      </c>
    </row>
    <row r="298" spans="1:4" ht="12.75">
      <c r="A298" s="27" t="s">
        <v>1728</v>
      </c>
      <c r="B298" s="28">
        <v>210</v>
      </c>
      <c r="C298" s="29" t="s">
        <v>1722</v>
      </c>
      <c r="D298" s="27">
        <v>2018</v>
      </c>
    </row>
    <row r="299" spans="1:4" ht="12.75">
      <c r="A299" s="7" t="s">
        <v>1729</v>
      </c>
      <c r="B299" s="8">
        <v>168</v>
      </c>
      <c r="C299" s="9" t="s">
        <v>1725</v>
      </c>
      <c r="D299" s="7">
        <v>2017</v>
      </c>
    </row>
    <row r="300" spans="1:4" ht="12.75">
      <c r="A300" s="27" t="s">
        <v>1730</v>
      </c>
      <c r="B300" s="28">
        <v>166</v>
      </c>
      <c r="C300" s="29" t="s">
        <v>1725</v>
      </c>
      <c r="D300" s="27">
        <v>2017</v>
      </c>
    </row>
    <row r="301" spans="1:4" ht="12.75">
      <c r="A301" s="7" t="s">
        <v>1731</v>
      </c>
      <c r="B301" s="8">
        <v>124</v>
      </c>
      <c r="C301" s="9" t="s">
        <v>1722</v>
      </c>
      <c r="D301" s="7">
        <v>2018</v>
      </c>
    </row>
    <row r="302" spans="1:4" ht="12.75">
      <c r="A302" s="27" t="s">
        <v>1732</v>
      </c>
      <c r="B302" s="28">
        <v>123</v>
      </c>
      <c r="C302" s="29" t="s">
        <v>1733</v>
      </c>
      <c r="D302" s="27">
        <v>2020</v>
      </c>
    </row>
    <row r="303" spans="1:4" ht="12.75">
      <c r="A303" s="152"/>
      <c r="B303" s="153"/>
      <c r="C303" s="153"/>
      <c r="D303" s="154"/>
    </row>
    <row r="304" spans="1:4" ht="18">
      <c r="A304" s="22" t="str">
        <f>HYPERLINK("https://www.reddit.com/r/indieheads/comments/apt0xx/top_ten_tuesday_incubus/","Incubus")</f>
        <v>Incubus</v>
      </c>
      <c r="B304" s="30">
        <v>43508</v>
      </c>
      <c r="C304" s="24"/>
      <c r="D304" s="32" t="s">
        <v>1</v>
      </c>
    </row>
    <row r="305" spans="1:4" ht="12.75">
      <c r="A305" s="26" t="s">
        <v>2</v>
      </c>
      <c r="B305" s="26" t="s">
        <v>3</v>
      </c>
      <c r="C305" s="26" t="s">
        <v>4</v>
      </c>
      <c r="D305" s="26" t="s">
        <v>5</v>
      </c>
    </row>
    <row r="306" spans="1:4" ht="12.75">
      <c r="A306" s="7" t="s">
        <v>1734</v>
      </c>
      <c r="B306" s="8">
        <v>57</v>
      </c>
      <c r="C306" s="9" t="str">
        <f>HYPERLINK("https://en.wikipedia.org/wiki/Morning_View","Morning View")</f>
        <v>Morning View</v>
      </c>
      <c r="D306" s="7">
        <v>2001</v>
      </c>
    </row>
    <row r="307" spans="1:4" ht="12.75">
      <c r="A307" s="27" t="s">
        <v>1735</v>
      </c>
      <c r="B307" s="28">
        <v>56</v>
      </c>
      <c r="C307" s="29" t="str">
        <f>HYPERLINK("https://en.wikipedia.org/wiki/Make_Yourself","Make Yourself")</f>
        <v>Make Yourself</v>
      </c>
      <c r="D307" s="27">
        <v>1999</v>
      </c>
    </row>
    <row r="308" spans="1:4" ht="12.75">
      <c r="A308" s="7" t="s">
        <v>1736</v>
      </c>
      <c r="B308" s="8">
        <v>51</v>
      </c>
      <c r="C308" s="9" t="str">
        <f>HYPERLINK("https://en.wikipedia.org/wiki/A_Crow_Left_of_the_Murder...","A Crow Left of the Murder...")</f>
        <v>A Crow Left of the Murder...</v>
      </c>
      <c r="D308" s="7">
        <v>2004</v>
      </c>
    </row>
    <row r="309" spans="1:4" ht="12.75">
      <c r="A309" s="27" t="s">
        <v>1737</v>
      </c>
      <c r="B309" s="28">
        <v>44</v>
      </c>
      <c r="C309" s="29" t="str">
        <f>HYPERLINK("https://en.wikipedia.org/wiki/Light_Grenades","Light Grenades")</f>
        <v>Light Grenades</v>
      </c>
      <c r="D309" s="27">
        <v>2006</v>
      </c>
    </row>
    <row r="310" spans="1:4" ht="12.75">
      <c r="A310" s="7" t="s">
        <v>1738</v>
      </c>
      <c r="B310" s="8">
        <v>39</v>
      </c>
      <c r="C310" s="9" t="str">
        <f>HYPERLINK("https://en.wikipedia.org/wiki/Make_Yourself","Make Yourself")</f>
        <v>Make Yourself</v>
      </c>
      <c r="D310" s="7">
        <v>1999</v>
      </c>
    </row>
    <row r="311" spans="1:4" ht="12.75">
      <c r="A311" s="27" t="s">
        <v>1739</v>
      </c>
      <c r="B311" s="28">
        <v>39</v>
      </c>
      <c r="C311" s="29" t="str">
        <f>HYPERLINK("https://en.wikipedia.org/wiki/Morning_View","Morning View")</f>
        <v>Morning View</v>
      </c>
      <c r="D311" s="27">
        <v>2001</v>
      </c>
    </row>
    <row r="312" spans="1:4" ht="12.75">
      <c r="A312" s="7" t="s">
        <v>1740</v>
      </c>
      <c r="B312" s="8">
        <v>39</v>
      </c>
      <c r="C312" s="9" t="str">
        <f t="shared" ref="C312:C313" si="21">HYPERLINK("https://en.wikipedia.org/wiki/S.C.I.E.N.C.E.","S.C.I.E.N.C.E.")</f>
        <v>S.C.I.E.N.C.E.</v>
      </c>
      <c r="D312" s="7">
        <v>1997</v>
      </c>
    </row>
    <row r="313" spans="1:4" ht="12.75">
      <c r="A313" s="27" t="s">
        <v>1741</v>
      </c>
      <c r="B313" s="28">
        <v>37</v>
      </c>
      <c r="C313" s="29" t="str">
        <f t="shared" si="21"/>
        <v>S.C.I.E.N.C.E.</v>
      </c>
      <c r="D313" s="27">
        <v>1997</v>
      </c>
    </row>
    <row r="314" spans="1:4" ht="12.75">
      <c r="A314" s="7" t="s">
        <v>1742</v>
      </c>
      <c r="B314" s="8">
        <v>35</v>
      </c>
      <c r="C314" s="9" t="str">
        <f>HYPERLINK("https://en.wikipedia.org/wiki/Light_Grenades","Light Grenades")</f>
        <v>Light Grenades</v>
      </c>
      <c r="D314" s="7">
        <v>2006</v>
      </c>
    </row>
    <row r="315" spans="1:4" ht="12.75">
      <c r="A315" s="27" t="s">
        <v>1743</v>
      </c>
      <c r="B315" s="28">
        <v>34</v>
      </c>
      <c r="C315" s="29" t="str">
        <f>HYPERLINK("https://en.wikipedia.org/wiki/A_Crow_Left_of_the_Murder...","A Crow Left of the Murder...")</f>
        <v>A Crow Left of the Murder...</v>
      </c>
      <c r="D315" s="27">
        <v>2004</v>
      </c>
    </row>
    <row r="316" spans="1:4" ht="12.75">
      <c r="A316" s="152"/>
      <c r="B316" s="153"/>
      <c r="C316" s="153"/>
      <c r="D316" s="154"/>
    </row>
    <row r="317" spans="1:4" ht="18">
      <c r="A317" s="22" t="s">
        <v>1744</v>
      </c>
      <c r="B317" s="30">
        <v>44628</v>
      </c>
      <c r="C317" s="24"/>
      <c r="D317" s="32" t="s">
        <v>1</v>
      </c>
    </row>
    <row r="318" spans="1:4" ht="12.75">
      <c r="A318" s="26" t="s">
        <v>2</v>
      </c>
      <c r="B318" s="26" t="s">
        <v>3</v>
      </c>
      <c r="C318" s="26" t="s">
        <v>4</v>
      </c>
      <c r="D318" s="26" t="s">
        <v>5</v>
      </c>
    </row>
    <row r="319" spans="1:4" ht="12.75">
      <c r="A319" s="7" t="s">
        <v>1745</v>
      </c>
      <c r="B319" s="8">
        <v>187</v>
      </c>
      <c r="C319" s="9" t="s">
        <v>1746</v>
      </c>
      <c r="D319" s="7">
        <v>2021</v>
      </c>
    </row>
    <row r="320" spans="1:4" ht="12.75">
      <c r="A320" s="27" t="s">
        <v>1747</v>
      </c>
      <c r="B320" s="28">
        <v>143</v>
      </c>
      <c r="C320" s="12" t="s">
        <v>1746</v>
      </c>
      <c r="D320" s="10">
        <v>2021</v>
      </c>
    </row>
    <row r="321" spans="1:4" ht="12.75">
      <c r="A321" s="7" t="s">
        <v>1748</v>
      </c>
      <c r="B321" s="8">
        <v>122</v>
      </c>
      <c r="C321" s="7" t="s">
        <v>1749</v>
      </c>
      <c r="D321" s="7">
        <v>2016</v>
      </c>
    </row>
    <row r="322" spans="1:4" ht="12.75">
      <c r="A322" s="27" t="s">
        <v>1750</v>
      </c>
      <c r="B322" s="28">
        <v>110</v>
      </c>
      <c r="C322" s="12" t="s">
        <v>1744</v>
      </c>
      <c r="D322" s="10">
        <v>2019</v>
      </c>
    </row>
    <row r="323" spans="1:4" ht="12.75">
      <c r="A323" s="7" t="s">
        <v>1751</v>
      </c>
      <c r="B323" s="8">
        <v>109</v>
      </c>
      <c r="C323" s="9" t="s">
        <v>1744</v>
      </c>
      <c r="D323" s="7">
        <v>2019</v>
      </c>
    </row>
    <row r="324" spans="1:4" ht="12.75">
      <c r="A324" s="27" t="s">
        <v>1752</v>
      </c>
      <c r="B324" s="28">
        <v>82</v>
      </c>
      <c r="C324" s="12" t="s">
        <v>1746</v>
      </c>
      <c r="D324" s="10">
        <v>2021</v>
      </c>
    </row>
    <row r="325" spans="1:4" ht="12.75">
      <c r="A325" s="7" t="s">
        <v>1753</v>
      </c>
      <c r="B325" s="8">
        <v>81</v>
      </c>
      <c r="C325" s="9" t="s">
        <v>1746</v>
      </c>
      <c r="D325" s="7">
        <v>2021</v>
      </c>
    </row>
    <row r="326" spans="1:4" ht="12.75">
      <c r="A326" s="27" t="s">
        <v>1754</v>
      </c>
      <c r="B326" s="28">
        <v>79</v>
      </c>
      <c r="C326" s="12" t="s">
        <v>1746</v>
      </c>
      <c r="D326" s="10">
        <v>2021</v>
      </c>
    </row>
    <row r="327" spans="1:4" ht="12.75">
      <c r="A327" s="7" t="s">
        <v>1755</v>
      </c>
      <c r="B327" s="8">
        <v>72</v>
      </c>
      <c r="C327" s="7" t="s">
        <v>1756</v>
      </c>
      <c r="D327" s="7">
        <v>2017</v>
      </c>
    </row>
    <row r="328" spans="1:4" ht="12.75">
      <c r="A328" s="27" t="s">
        <v>1757</v>
      </c>
      <c r="B328" s="28">
        <v>57</v>
      </c>
      <c r="C328" s="10" t="s">
        <v>1749</v>
      </c>
      <c r="D328" s="10">
        <v>2016</v>
      </c>
    </row>
    <row r="329" spans="1:4" ht="12.75">
      <c r="A329" s="152"/>
      <c r="B329" s="153"/>
      <c r="C329" s="153"/>
      <c r="D329" s="154"/>
    </row>
    <row r="330" spans="1:4" ht="18">
      <c r="A330" s="41" t="s">
        <v>1758</v>
      </c>
      <c r="B330" s="23">
        <v>44854</v>
      </c>
      <c r="C330" s="24"/>
      <c r="D330" s="32"/>
    </row>
    <row r="331" spans="1:4" ht="12.75">
      <c r="A331" s="26" t="s">
        <v>2</v>
      </c>
      <c r="B331" s="26" t="s">
        <v>3</v>
      </c>
      <c r="C331" s="26" t="s">
        <v>4</v>
      </c>
      <c r="D331" s="26" t="s">
        <v>5</v>
      </c>
    </row>
    <row r="332" spans="1:4" ht="12.75">
      <c r="A332" s="19" t="s">
        <v>1759</v>
      </c>
      <c r="B332" s="8">
        <v>310</v>
      </c>
      <c r="C332" s="19" t="s">
        <v>1760</v>
      </c>
      <c r="D332" s="7">
        <v>2002</v>
      </c>
    </row>
    <row r="333" spans="1:4" ht="12.75">
      <c r="A333" s="35" t="s">
        <v>1761</v>
      </c>
      <c r="B333" s="28">
        <v>247</v>
      </c>
      <c r="C333" s="35" t="s">
        <v>1760</v>
      </c>
      <c r="D333" s="27">
        <v>2002</v>
      </c>
    </row>
    <row r="334" spans="1:4" ht="12.75">
      <c r="A334" s="19" t="s">
        <v>1762</v>
      </c>
      <c r="B334" s="8">
        <v>213</v>
      </c>
      <c r="C334" s="19" t="s">
        <v>1760</v>
      </c>
      <c r="D334" s="7">
        <v>2002</v>
      </c>
    </row>
    <row r="335" spans="1:4" ht="12.75">
      <c r="A335" s="35" t="s">
        <v>1763</v>
      </c>
      <c r="B335" s="28">
        <v>209</v>
      </c>
      <c r="C335" s="35" t="s">
        <v>1764</v>
      </c>
      <c r="D335" s="27">
        <v>2004</v>
      </c>
    </row>
    <row r="336" spans="1:4" ht="12.75">
      <c r="A336" s="19" t="s">
        <v>1765</v>
      </c>
      <c r="B336" s="8">
        <v>180</v>
      </c>
      <c r="C336" s="19" t="s">
        <v>1760</v>
      </c>
      <c r="D336" s="7">
        <v>2002</v>
      </c>
    </row>
    <row r="337" spans="1:4" ht="12.75">
      <c r="A337" s="35" t="s">
        <v>1766</v>
      </c>
      <c r="B337" s="28">
        <v>179</v>
      </c>
      <c r="C337" s="35" t="s">
        <v>1760</v>
      </c>
      <c r="D337" s="27">
        <v>2002</v>
      </c>
    </row>
    <row r="338" spans="1:4" ht="12.75">
      <c r="A338" s="19" t="s">
        <v>1767</v>
      </c>
      <c r="B338" s="8">
        <v>147</v>
      </c>
      <c r="C338" s="19" t="s">
        <v>1760</v>
      </c>
      <c r="D338" s="7">
        <v>2002</v>
      </c>
    </row>
    <row r="339" spans="1:4" ht="12.75">
      <c r="A339" s="35" t="s">
        <v>1768</v>
      </c>
      <c r="B339" s="28">
        <v>111</v>
      </c>
      <c r="C339" s="35" t="s">
        <v>1760</v>
      </c>
      <c r="D339" s="27">
        <v>2002</v>
      </c>
    </row>
    <row r="340" spans="1:4" ht="12.75">
      <c r="A340" s="19" t="s">
        <v>1769</v>
      </c>
      <c r="B340" s="8">
        <v>96</v>
      </c>
      <c r="C340" s="19" t="s">
        <v>1764</v>
      </c>
      <c r="D340" s="7">
        <v>2004</v>
      </c>
    </row>
    <row r="341" spans="1:4" ht="12.75">
      <c r="A341" s="35" t="s">
        <v>1770</v>
      </c>
      <c r="B341" s="28">
        <v>91</v>
      </c>
      <c r="C341" s="35" t="s">
        <v>1771</v>
      </c>
      <c r="D341" s="27">
        <v>2014</v>
      </c>
    </row>
    <row r="342" spans="1:4" ht="12.75">
      <c r="A342" s="152"/>
      <c r="B342" s="153"/>
      <c r="C342" s="153"/>
      <c r="D342" s="154"/>
    </row>
    <row r="343" spans="1:4" ht="18">
      <c r="A343" s="22" t="str">
        <f>HYPERLINK("https://www.reddit.com/r/indieheads/comments/6jte3n/top_ten_tuesday_iron_wine/","Iron &amp; Wine")</f>
        <v>Iron &amp; Wine</v>
      </c>
      <c r="B343" s="30">
        <v>42913</v>
      </c>
      <c r="C343" s="24"/>
      <c r="D343" s="24"/>
    </row>
    <row r="344" spans="1:4" ht="12.75">
      <c r="A344" s="26" t="s">
        <v>2</v>
      </c>
      <c r="B344" s="26" t="s">
        <v>3</v>
      </c>
      <c r="C344" s="26" t="s">
        <v>4</v>
      </c>
      <c r="D344" s="26" t="s">
        <v>5</v>
      </c>
    </row>
    <row r="345" spans="1:4" ht="12.75">
      <c r="A345" s="7" t="s">
        <v>1772</v>
      </c>
      <c r="B345" s="8">
        <v>218</v>
      </c>
      <c r="C345" s="7"/>
      <c r="D345" s="7">
        <v>2004</v>
      </c>
    </row>
    <row r="346" spans="1:4" ht="12.75">
      <c r="A346" s="27" t="s">
        <v>1773</v>
      </c>
      <c r="B346" s="28">
        <v>113</v>
      </c>
      <c r="C346" s="29" t="str">
        <f>HYPERLINK("https://en.wikipedia.org/wiki/The_Creek_Drank_the_Cradle","The Creek Drank the Cradle")</f>
        <v>The Creek Drank the Cradle</v>
      </c>
      <c r="D346" s="27">
        <v>2002</v>
      </c>
    </row>
    <row r="347" spans="1:4" ht="12.75">
      <c r="A347" s="7" t="s">
        <v>1774</v>
      </c>
      <c r="B347" s="8">
        <v>100</v>
      </c>
      <c r="C347" s="9" t="str">
        <f>HYPERLINK("https://en.wikipedia.org/wiki/The_Shepherd%27s_Dog","The Shepherd's Dog")</f>
        <v>The Shepherd's Dog</v>
      </c>
      <c r="D347" s="7">
        <v>2007</v>
      </c>
    </row>
    <row r="348" spans="1:4" ht="12.75">
      <c r="A348" s="27" t="s">
        <v>1775</v>
      </c>
      <c r="B348" s="28">
        <v>94</v>
      </c>
      <c r="C348" s="29" t="str">
        <f>HYPERLINK("https://en.wikipedia.org/wiki/Our_Endless_Numbered_Days","Our Endless Numbered Days")</f>
        <v>Our Endless Numbered Days</v>
      </c>
      <c r="D348" s="27">
        <v>2004</v>
      </c>
    </row>
    <row r="349" spans="1:4" ht="12.75">
      <c r="A349" s="7" t="s">
        <v>1776</v>
      </c>
      <c r="B349" s="8">
        <v>80</v>
      </c>
      <c r="C349" s="9" t="str">
        <f>HYPERLINK("https://en.wikipedia.org/wiki/The_Shepherd%27s_Dog","The Shepherd's Dog")</f>
        <v>The Shepherd's Dog</v>
      </c>
      <c r="D349" s="7">
        <v>2007</v>
      </c>
    </row>
    <row r="350" spans="1:4" ht="12.75">
      <c r="A350" s="27" t="s">
        <v>1777</v>
      </c>
      <c r="B350" s="28">
        <v>74</v>
      </c>
      <c r="C350" s="29" t="str">
        <f>HYPERLINK("https://en.wikipedia.org/wiki/Our_Endless_Numbered_Days","Our Endless Numbered Days")</f>
        <v>Our Endless Numbered Days</v>
      </c>
      <c r="D350" s="27">
        <v>2004</v>
      </c>
    </row>
    <row r="351" spans="1:4" ht="12.75">
      <c r="A351" s="7" t="s">
        <v>1778</v>
      </c>
      <c r="B351" s="8">
        <v>58</v>
      </c>
      <c r="C351" s="9" t="str">
        <f>HYPERLINK("https://en.wikipedia.org/wiki/Woman_King","Woman King")</f>
        <v>Woman King</v>
      </c>
      <c r="D351" s="7">
        <v>2005</v>
      </c>
    </row>
    <row r="352" spans="1:4" ht="12.75">
      <c r="A352" s="27" t="s">
        <v>1779</v>
      </c>
      <c r="B352" s="28">
        <v>57</v>
      </c>
      <c r="C352" s="29" t="str">
        <f>HYPERLINK("https://en.wikipedia.org/wiki/Our_Endless_Numbered_Days","Our Endless Numbered Days")</f>
        <v>Our Endless Numbered Days</v>
      </c>
      <c r="D352" s="27">
        <v>2004</v>
      </c>
    </row>
    <row r="353" spans="1:4" ht="12.75">
      <c r="A353" s="7" t="s">
        <v>1780</v>
      </c>
      <c r="B353" s="8">
        <v>48</v>
      </c>
      <c r="C353" s="9" t="str">
        <f>HYPERLINK("https://en.wikipedia.org/wiki/Kiss_Each_Other_Clean","Kiss Each Other Clean")</f>
        <v>Kiss Each Other Clean</v>
      </c>
      <c r="D353" s="7">
        <v>2011</v>
      </c>
    </row>
    <row r="354" spans="1:4" ht="12.75">
      <c r="A354" s="27" t="s">
        <v>1781</v>
      </c>
      <c r="B354" s="28">
        <v>48</v>
      </c>
      <c r="C354" s="29" t="str">
        <f>HYPERLINK("https://en.wikipedia.org/wiki/The_Sea_%26_the_Rhythm","The Sea &amp; the Rhythm")</f>
        <v>The Sea &amp; the Rhythm</v>
      </c>
      <c r="D354" s="27">
        <v>2003</v>
      </c>
    </row>
    <row r="355" spans="1:4" ht="12.75">
      <c r="A355" s="152"/>
      <c r="B355" s="153"/>
      <c r="C355" s="153"/>
      <c r="D355" s="154"/>
    </row>
    <row r="356" spans="1:4" ht="18">
      <c r="A356" s="22" t="str">
        <f>HYPERLINK("https://www.reddit.com/r/indieheads/comments/5zd8ki/top_ten_tuesday_james_blake/","James Blake")</f>
        <v>James Blake</v>
      </c>
      <c r="B356" s="30">
        <v>42808</v>
      </c>
      <c r="C356" s="24"/>
      <c r="D356" s="24"/>
    </row>
    <row r="357" spans="1:4" ht="12.75">
      <c r="A357" s="26" t="s">
        <v>2</v>
      </c>
      <c r="B357" s="26" t="s">
        <v>3</v>
      </c>
      <c r="C357" s="26" t="s">
        <v>4</v>
      </c>
      <c r="D357" s="26" t="s">
        <v>5</v>
      </c>
    </row>
    <row r="358" spans="1:4" ht="12.75">
      <c r="A358" s="7" t="s">
        <v>1782</v>
      </c>
      <c r="B358" s="8">
        <v>382</v>
      </c>
      <c r="C358" s="9" t="str">
        <f>HYPERLINK("https://en.wikipedia.org/wiki/Overgrown","Overgrown")</f>
        <v>Overgrown</v>
      </c>
      <c r="D358" s="7">
        <v>2013</v>
      </c>
    </row>
    <row r="359" spans="1:4" ht="12.75">
      <c r="A359" s="27" t="s">
        <v>1783</v>
      </c>
      <c r="B359" s="28">
        <v>348</v>
      </c>
      <c r="C359" s="29" t="str">
        <f>HYPERLINK("https://en.wikipedia.org/wiki/James_Blake_(album)","James Blake")</f>
        <v>James Blake</v>
      </c>
      <c r="D359" s="27">
        <v>2011</v>
      </c>
    </row>
    <row r="360" spans="1:4" ht="12.75">
      <c r="A360" s="7" t="s">
        <v>1784</v>
      </c>
      <c r="B360" s="8">
        <v>269</v>
      </c>
      <c r="C360" s="9" t="str">
        <f>HYPERLINK("https://en.wikipedia.org/wiki/The_Colour_in_Anything","The Colour in Anything")</f>
        <v>The Colour in Anything</v>
      </c>
      <c r="D360" s="7">
        <v>2016</v>
      </c>
    </row>
    <row r="361" spans="1:4" ht="12.75">
      <c r="A361" s="27" t="s">
        <v>1785</v>
      </c>
      <c r="B361" s="28">
        <v>229</v>
      </c>
      <c r="C361" s="29" t="str">
        <f>HYPERLINK("https://en.wikipedia.org/wiki/James_Blake_(album)","James Blake")</f>
        <v>James Blake</v>
      </c>
      <c r="D361" s="27">
        <v>2011</v>
      </c>
    </row>
    <row r="362" spans="1:4" ht="12.75">
      <c r="A362" s="7" t="s">
        <v>1786</v>
      </c>
      <c r="B362" s="8">
        <v>217</v>
      </c>
      <c r="C362" s="9" t="str">
        <f>HYPERLINK("v","Overgrown")</f>
        <v>Overgrown</v>
      </c>
      <c r="D362" s="7">
        <v>2013</v>
      </c>
    </row>
    <row r="363" spans="1:4" ht="12.75">
      <c r="A363" s="27" t="s">
        <v>1787</v>
      </c>
      <c r="B363" s="28">
        <v>200</v>
      </c>
      <c r="C363" s="29" t="str">
        <f t="shared" ref="C363:C364" si="22">HYPERLINK("https://en.wikipedia.org/wiki/The_Colour_in_Anything","The Colour in Anything")</f>
        <v>The Colour in Anything</v>
      </c>
      <c r="D363" s="27">
        <v>2016</v>
      </c>
    </row>
    <row r="364" spans="1:4" ht="12.75">
      <c r="A364" s="7" t="s">
        <v>1788</v>
      </c>
      <c r="B364" s="8">
        <v>183</v>
      </c>
      <c r="C364" s="9" t="str">
        <f t="shared" si="22"/>
        <v>The Colour in Anything</v>
      </c>
      <c r="D364" s="7">
        <v>2016</v>
      </c>
    </row>
    <row r="365" spans="1:4" ht="12.75">
      <c r="A365" s="27" t="s">
        <v>1789</v>
      </c>
      <c r="B365" s="28">
        <v>177</v>
      </c>
      <c r="C365" s="29" t="str">
        <f t="shared" ref="C365:C367" si="23">HYPERLINK("https://en.wikipedia.org/wiki/James_Blake_(album)","James Blake")</f>
        <v>James Blake</v>
      </c>
      <c r="D365" s="27">
        <v>2011</v>
      </c>
    </row>
    <row r="366" spans="1:4" ht="12.75">
      <c r="A366" s="133" t="s">
        <v>3972</v>
      </c>
      <c r="B366" s="8">
        <v>168</v>
      </c>
      <c r="C366" s="9" t="str">
        <f t="shared" si="23"/>
        <v>James Blake</v>
      </c>
      <c r="D366" s="7">
        <v>2011</v>
      </c>
    </row>
    <row r="367" spans="1:4" ht="12.75">
      <c r="A367" s="133" t="s">
        <v>3973</v>
      </c>
      <c r="B367" s="8">
        <v>168</v>
      </c>
      <c r="C367" s="9" t="str">
        <f t="shared" si="23"/>
        <v>James Blake</v>
      </c>
      <c r="D367" s="7">
        <v>2011</v>
      </c>
    </row>
    <row r="368" spans="1:4" ht="12.75">
      <c r="A368" s="27" t="s">
        <v>1790</v>
      </c>
      <c r="B368" s="28">
        <v>163</v>
      </c>
      <c r="C368" s="29" t="str">
        <f>HYPERLINK("https://en.wikipedia.org/wiki/Overgrown","Overgrown")</f>
        <v>Overgrown</v>
      </c>
      <c r="D368" s="27">
        <v>2013</v>
      </c>
    </row>
    <row r="369" spans="1:4" ht="12.75">
      <c r="A369" s="152"/>
      <c r="B369" s="153"/>
      <c r="C369" s="153"/>
      <c r="D369" s="154"/>
    </row>
    <row r="370" spans="1:4" ht="18">
      <c r="A370" s="22" t="s">
        <v>1791</v>
      </c>
      <c r="B370" s="30">
        <v>44579</v>
      </c>
      <c r="C370" s="24"/>
      <c r="D370" s="32" t="s">
        <v>1</v>
      </c>
    </row>
    <row r="371" spans="1:4" ht="12.75">
      <c r="A371" s="26" t="s">
        <v>2</v>
      </c>
      <c r="B371" s="26" t="s">
        <v>3</v>
      </c>
      <c r="C371" s="26" t="s">
        <v>4</v>
      </c>
      <c r="D371" s="26" t="s">
        <v>5</v>
      </c>
    </row>
    <row r="372" spans="1:4" ht="12.75">
      <c r="A372" s="7" t="s">
        <v>1792</v>
      </c>
      <c r="B372" s="8">
        <v>143</v>
      </c>
      <c r="C372" s="9" t="s">
        <v>1793</v>
      </c>
      <c r="D372" s="7">
        <v>2010</v>
      </c>
    </row>
    <row r="373" spans="1:4" ht="12.75">
      <c r="A373" s="27" t="s">
        <v>1794</v>
      </c>
      <c r="B373" s="28">
        <v>129</v>
      </c>
      <c r="C373" s="29" t="s">
        <v>1793</v>
      </c>
      <c r="D373" s="27">
        <v>2010</v>
      </c>
    </row>
    <row r="374" spans="1:4" ht="12.75">
      <c r="A374" s="7" t="s">
        <v>1795</v>
      </c>
      <c r="B374" s="8">
        <v>112</v>
      </c>
      <c r="C374" s="9" t="s">
        <v>1796</v>
      </c>
      <c r="D374" s="7">
        <v>2018</v>
      </c>
    </row>
    <row r="375" spans="1:4" ht="12.75">
      <c r="A375" s="27" t="s">
        <v>1797</v>
      </c>
      <c r="B375" s="28">
        <v>108</v>
      </c>
      <c r="C375" s="29" t="s">
        <v>1798</v>
      </c>
      <c r="D375" s="27">
        <v>2013</v>
      </c>
    </row>
    <row r="376" spans="1:4" ht="12.75">
      <c r="A376" s="7" t="s">
        <v>1799</v>
      </c>
      <c r="B376" s="8">
        <v>96</v>
      </c>
      <c r="C376" s="9" t="s">
        <v>1793</v>
      </c>
      <c r="D376" s="7">
        <v>2010</v>
      </c>
    </row>
    <row r="377" spans="1:4" ht="12.75">
      <c r="A377" s="27" t="s">
        <v>1800</v>
      </c>
      <c r="B377" s="28">
        <v>91</v>
      </c>
      <c r="C377" s="29" t="s">
        <v>1793</v>
      </c>
      <c r="D377" s="27">
        <v>2010</v>
      </c>
    </row>
    <row r="378" spans="1:4" ht="12.75">
      <c r="A378" s="7" t="s">
        <v>1801</v>
      </c>
      <c r="B378" s="8">
        <v>64</v>
      </c>
      <c r="C378" s="9" t="s">
        <v>1796</v>
      </c>
      <c r="D378" s="7">
        <v>2018</v>
      </c>
    </row>
    <row r="379" spans="1:4" ht="12.75">
      <c r="A379" s="27" t="s">
        <v>1802</v>
      </c>
      <c r="B379" s="28">
        <v>51</v>
      </c>
      <c r="C379" s="29" t="s">
        <v>1798</v>
      </c>
      <c r="D379" s="27">
        <v>2013</v>
      </c>
    </row>
    <row r="380" spans="1:4" ht="12.75">
      <c r="A380" s="7" t="s">
        <v>1803</v>
      </c>
      <c r="B380" s="8">
        <v>45</v>
      </c>
      <c r="C380" s="9" t="s">
        <v>1798</v>
      </c>
      <c r="D380" s="7">
        <v>2013</v>
      </c>
    </row>
    <row r="381" spans="1:4" ht="12.75">
      <c r="A381" s="27" t="s">
        <v>1804</v>
      </c>
      <c r="B381" s="28">
        <v>42</v>
      </c>
      <c r="C381" s="29" t="s">
        <v>1793</v>
      </c>
      <c r="D381" s="27">
        <v>2010</v>
      </c>
    </row>
    <row r="382" spans="1:4" ht="12.75">
      <c r="A382" s="152"/>
      <c r="B382" s="153"/>
      <c r="C382" s="153"/>
      <c r="D382" s="154"/>
    </row>
    <row r="383" spans="1:4" ht="18">
      <c r="A383" s="22" t="s">
        <v>1805</v>
      </c>
      <c r="B383" s="30">
        <v>44474</v>
      </c>
      <c r="C383" s="24"/>
      <c r="D383" s="32" t="s">
        <v>1</v>
      </c>
    </row>
    <row r="384" spans="1:4" ht="12.75">
      <c r="A384" s="26" t="s">
        <v>2</v>
      </c>
      <c r="B384" s="26" t="s">
        <v>3</v>
      </c>
      <c r="C384" s="26" t="s">
        <v>4</v>
      </c>
      <c r="D384" s="26" t="s">
        <v>5</v>
      </c>
    </row>
    <row r="385" spans="1:4" ht="12.75">
      <c r="A385" s="7" t="s">
        <v>1806</v>
      </c>
      <c r="B385" s="8">
        <v>659</v>
      </c>
      <c r="C385" s="9" t="s">
        <v>1807</v>
      </c>
      <c r="D385" s="7">
        <v>2021</v>
      </c>
    </row>
    <row r="386" spans="1:4" ht="12.75">
      <c r="A386" s="27" t="s">
        <v>1808</v>
      </c>
      <c r="B386" s="28">
        <v>491</v>
      </c>
      <c r="C386" s="29" t="s">
        <v>1809</v>
      </c>
      <c r="D386" s="27">
        <v>2016</v>
      </c>
    </row>
    <row r="387" spans="1:4" ht="12.75">
      <c r="A387" s="7" t="s">
        <v>1810</v>
      </c>
      <c r="B387" s="8">
        <v>452</v>
      </c>
      <c r="C387" s="9" t="s">
        <v>1811</v>
      </c>
      <c r="D387" s="7">
        <v>2017</v>
      </c>
    </row>
    <row r="388" spans="1:4" ht="12.75">
      <c r="A388" s="27" t="s">
        <v>1812</v>
      </c>
      <c r="B388" s="28">
        <v>394</v>
      </c>
      <c r="C388" s="12" t="s">
        <v>1811</v>
      </c>
      <c r="D388" s="27">
        <v>2017</v>
      </c>
    </row>
    <row r="389" spans="1:4" ht="12.75">
      <c r="A389" s="7" t="s">
        <v>1813</v>
      </c>
      <c r="B389" s="8">
        <v>347</v>
      </c>
      <c r="C389" s="9" t="s">
        <v>1807</v>
      </c>
      <c r="D389" s="7">
        <v>2021</v>
      </c>
    </row>
    <row r="390" spans="1:4" ht="12.75">
      <c r="A390" s="27" t="s">
        <v>1814</v>
      </c>
      <c r="B390" s="28">
        <v>324</v>
      </c>
      <c r="C390" s="29" t="s">
        <v>1809</v>
      </c>
      <c r="D390" s="27">
        <v>2016</v>
      </c>
    </row>
    <row r="391" spans="1:4" ht="12.75">
      <c r="A391" s="7" t="s">
        <v>1815</v>
      </c>
      <c r="B391" s="8">
        <v>319</v>
      </c>
      <c r="C391" s="9" t="s">
        <v>1807</v>
      </c>
      <c r="D391" s="7">
        <v>2021</v>
      </c>
    </row>
    <row r="392" spans="1:4" ht="12.75">
      <c r="A392" s="27" t="s">
        <v>1816</v>
      </c>
      <c r="B392" s="28">
        <v>314</v>
      </c>
      <c r="C392" s="12" t="s">
        <v>1807</v>
      </c>
      <c r="D392" s="27">
        <v>2021</v>
      </c>
    </row>
    <row r="393" spans="1:4" ht="12.75">
      <c r="A393" s="7" t="s">
        <v>1817</v>
      </c>
      <c r="B393" s="8">
        <v>300</v>
      </c>
      <c r="C393" s="9" t="s">
        <v>1811</v>
      </c>
      <c r="D393" s="7">
        <v>2017</v>
      </c>
    </row>
    <row r="394" spans="1:4" ht="12.75">
      <c r="A394" s="27" t="s">
        <v>1818</v>
      </c>
      <c r="B394" s="28">
        <v>286</v>
      </c>
      <c r="C394" s="12" t="s">
        <v>1811</v>
      </c>
      <c r="D394" s="27">
        <v>2017</v>
      </c>
    </row>
    <row r="395" spans="1:4" ht="12.75">
      <c r="A395" s="152"/>
      <c r="B395" s="153"/>
      <c r="C395" s="153"/>
      <c r="D395" s="154"/>
    </row>
    <row r="396" spans="1:4" ht="18">
      <c r="A396" s="22" t="s">
        <v>1819</v>
      </c>
      <c r="B396" s="30">
        <v>44350</v>
      </c>
      <c r="C396" s="24"/>
      <c r="D396" s="32" t="s">
        <v>1</v>
      </c>
    </row>
    <row r="397" spans="1:4" ht="12.75">
      <c r="A397" s="26" t="s">
        <v>2</v>
      </c>
      <c r="B397" s="26" t="s">
        <v>3</v>
      </c>
      <c r="C397" s="26" t="s">
        <v>4</v>
      </c>
      <c r="D397" s="26" t="s">
        <v>5</v>
      </c>
    </row>
    <row r="398" spans="1:4" ht="12.75">
      <c r="A398" s="7" t="s">
        <v>1820</v>
      </c>
      <c r="B398" s="8">
        <v>117</v>
      </c>
      <c r="C398" s="9" t="s">
        <v>1821</v>
      </c>
      <c r="D398" s="7">
        <v>2019</v>
      </c>
    </row>
    <row r="399" spans="1:4" ht="12.75">
      <c r="A399" s="27" t="s">
        <v>1822</v>
      </c>
      <c r="B399" s="28">
        <v>81</v>
      </c>
      <c r="C399" s="29" t="s">
        <v>1823</v>
      </c>
      <c r="D399" s="27">
        <v>2017</v>
      </c>
    </row>
    <row r="400" spans="1:4" ht="12.75">
      <c r="A400" s="7" t="s">
        <v>1824</v>
      </c>
      <c r="B400" s="8">
        <v>69</v>
      </c>
      <c r="C400" s="9" t="s">
        <v>1823</v>
      </c>
      <c r="D400" s="7">
        <v>2017</v>
      </c>
    </row>
    <row r="401" spans="1:4" ht="12.75">
      <c r="A401" s="27" t="s">
        <v>1825</v>
      </c>
      <c r="B401" s="28">
        <v>57</v>
      </c>
      <c r="C401" s="29" t="s">
        <v>1821</v>
      </c>
      <c r="D401" s="27">
        <v>2019</v>
      </c>
    </row>
    <row r="402" spans="1:4" ht="12.75">
      <c r="A402" s="7" t="s">
        <v>1826</v>
      </c>
      <c r="B402" s="8">
        <v>43</v>
      </c>
      <c r="C402" s="9" t="s">
        <v>1821</v>
      </c>
      <c r="D402" s="7">
        <v>2019</v>
      </c>
    </row>
    <row r="403" spans="1:4" ht="12.75">
      <c r="A403" s="27" t="s">
        <v>1827</v>
      </c>
      <c r="B403" s="28">
        <v>43</v>
      </c>
      <c r="C403" s="29" t="s">
        <v>1823</v>
      </c>
      <c r="D403" s="27">
        <v>2017</v>
      </c>
    </row>
    <row r="404" spans="1:4" ht="12.75">
      <c r="A404" s="7" t="s">
        <v>1828</v>
      </c>
      <c r="B404" s="8">
        <v>40</v>
      </c>
      <c r="C404" s="9" t="s">
        <v>1821</v>
      </c>
      <c r="D404" s="7">
        <v>2019</v>
      </c>
    </row>
    <row r="405" spans="1:4" ht="12.75">
      <c r="A405" s="27" t="s">
        <v>1821</v>
      </c>
      <c r="B405" s="28">
        <v>37</v>
      </c>
      <c r="C405" s="29" t="s">
        <v>1821</v>
      </c>
      <c r="D405" s="27">
        <v>2019</v>
      </c>
    </row>
    <row r="406" spans="1:4" ht="12.75">
      <c r="A406" s="7" t="s">
        <v>1829</v>
      </c>
      <c r="B406" s="8">
        <v>35</v>
      </c>
      <c r="C406" s="9" t="s">
        <v>1821</v>
      </c>
      <c r="D406" s="7">
        <v>2019</v>
      </c>
    </row>
    <row r="407" spans="1:4" ht="12.75">
      <c r="A407" s="27" t="s">
        <v>1830</v>
      </c>
      <c r="B407" s="28">
        <v>35</v>
      </c>
      <c r="C407" s="27"/>
      <c r="D407" s="27">
        <v>2016</v>
      </c>
    </row>
    <row r="408" spans="1:4" ht="12.75">
      <c r="A408" s="152"/>
      <c r="B408" s="153"/>
      <c r="C408" s="153"/>
      <c r="D408" s="154"/>
    </row>
    <row r="409" spans="1:4" ht="18">
      <c r="A409" s="22" t="str">
        <f>HYPERLINK("https://www.reddit.com/r/indieheads/comments/drxv98/top_ten_tuesday_jeff_buckley/","Jeff Buckley")</f>
        <v>Jeff Buckley</v>
      </c>
      <c r="B409" s="30">
        <v>43774</v>
      </c>
      <c r="C409" s="24"/>
      <c r="D409" s="32" t="s">
        <v>1</v>
      </c>
    </row>
    <row r="410" spans="1:4" ht="12.75">
      <c r="A410" s="26" t="s">
        <v>2</v>
      </c>
      <c r="B410" s="26" t="s">
        <v>3</v>
      </c>
      <c r="C410" s="26" t="s">
        <v>4</v>
      </c>
      <c r="D410" s="26" t="s">
        <v>5</v>
      </c>
    </row>
    <row r="411" spans="1:4" ht="12.75">
      <c r="A411" s="7" t="s">
        <v>1831</v>
      </c>
      <c r="B411" s="8">
        <v>223</v>
      </c>
      <c r="C411" s="9" t="str">
        <f t="shared" ref="C411:C417" si="24">HYPERLINK("https://en.wikipedia.org/wiki/Grace_(Jeff_Buckley_album)","Grace")</f>
        <v>Grace</v>
      </c>
      <c r="D411" s="7">
        <v>1994</v>
      </c>
    </row>
    <row r="412" spans="1:4" ht="12.75">
      <c r="A412" s="27" t="s">
        <v>1832</v>
      </c>
      <c r="B412" s="28">
        <v>185</v>
      </c>
      <c r="C412" s="29" t="str">
        <f t="shared" si="24"/>
        <v>Grace</v>
      </c>
      <c r="D412" s="27">
        <v>1994</v>
      </c>
    </row>
    <row r="413" spans="1:4" ht="12.75">
      <c r="A413" s="7" t="s">
        <v>1833</v>
      </c>
      <c r="B413" s="8">
        <v>161</v>
      </c>
      <c r="C413" s="9" t="str">
        <f t="shared" si="24"/>
        <v>Grace</v>
      </c>
      <c r="D413" s="7">
        <v>1994</v>
      </c>
    </row>
    <row r="414" spans="1:4" ht="12.75">
      <c r="A414" s="27" t="s">
        <v>1834</v>
      </c>
      <c r="B414" s="28">
        <v>146</v>
      </c>
      <c r="C414" s="29" t="str">
        <f t="shared" si="24"/>
        <v>Grace</v>
      </c>
      <c r="D414" s="27">
        <v>1994</v>
      </c>
    </row>
    <row r="415" spans="1:4" ht="12.75">
      <c r="A415" s="7" t="s">
        <v>1835</v>
      </c>
      <c r="B415" s="8">
        <v>98</v>
      </c>
      <c r="C415" s="9" t="str">
        <f t="shared" si="24"/>
        <v>Grace</v>
      </c>
      <c r="D415" s="7">
        <v>1994</v>
      </c>
    </row>
    <row r="416" spans="1:4" ht="12.75">
      <c r="A416" s="27" t="s">
        <v>1836</v>
      </c>
      <c r="B416" s="28">
        <v>93</v>
      </c>
      <c r="C416" s="29" t="str">
        <f t="shared" si="24"/>
        <v>Grace</v>
      </c>
      <c r="D416" s="27">
        <v>1994</v>
      </c>
    </row>
    <row r="417" spans="1:4" ht="12.75">
      <c r="A417" s="7" t="s">
        <v>1837</v>
      </c>
      <c r="B417" s="8">
        <v>75</v>
      </c>
      <c r="C417" s="9" t="str">
        <f t="shared" si="24"/>
        <v>Grace</v>
      </c>
      <c r="D417" s="7">
        <v>1994</v>
      </c>
    </row>
    <row r="418" spans="1:4" ht="12.75">
      <c r="A418" s="27" t="s">
        <v>1838</v>
      </c>
      <c r="B418" s="28">
        <v>70</v>
      </c>
      <c r="C418" s="27"/>
      <c r="D418" s="27">
        <v>2004</v>
      </c>
    </row>
    <row r="419" spans="1:4" ht="12.75">
      <c r="A419" s="7" t="s">
        <v>1839</v>
      </c>
      <c r="B419" s="8">
        <v>63</v>
      </c>
      <c r="C419" s="9" t="str">
        <f t="shared" ref="C419:C420" si="25">HYPERLINK("https://en.wikipedia.org/wiki/Sketches_for_My_Sweetheart_the_Drunk","Sketches for My Sweetheart the Drunk")</f>
        <v>Sketches for My Sweetheart the Drunk</v>
      </c>
      <c r="D419" s="7">
        <v>1998</v>
      </c>
    </row>
    <row r="420" spans="1:4" ht="12.75">
      <c r="A420" s="27" t="s">
        <v>1840</v>
      </c>
      <c r="B420" s="28">
        <v>47</v>
      </c>
      <c r="C420" s="29" t="str">
        <f t="shared" si="25"/>
        <v>Sketches for My Sweetheart the Drunk</v>
      </c>
      <c r="D420" s="27">
        <v>1998</v>
      </c>
    </row>
    <row r="421" spans="1:4" ht="12.75">
      <c r="A421" s="152"/>
      <c r="B421" s="153"/>
      <c r="C421" s="153"/>
      <c r="D421" s="154"/>
    </row>
    <row r="422" spans="1:4" ht="18">
      <c r="A422" s="22" t="str">
        <f>HYPERLINK("https://www.reddit.com/r/indieheads/comments/cswlq2/top_ten_tuesday_jeff_rosenstock/","Jeff Rosenstock")</f>
        <v>Jeff Rosenstock</v>
      </c>
      <c r="B422" s="30">
        <v>43697</v>
      </c>
      <c r="C422" s="24"/>
      <c r="D422" s="32" t="s">
        <v>1</v>
      </c>
    </row>
    <row r="423" spans="1:4" ht="12.75">
      <c r="A423" s="26" t="s">
        <v>2</v>
      </c>
      <c r="B423" s="26" t="s">
        <v>3</v>
      </c>
      <c r="C423" s="26" t="s">
        <v>4</v>
      </c>
      <c r="D423" s="26" t="s">
        <v>5</v>
      </c>
    </row>
    <row r="424" spans="1:4" ht="12.75">
      <c r="A424" s="7" t="s">
        <v>1841</v>
      </c>
      <c r="B424" s="8">
        <v>489</v>
      </c>
      <c r="C424" s="9" t="str">
        <f t="shared" ref="C424:C425" si="26">HYPERLINK("https://en.wikipedia.org/wiki/We_Cool%3F","We Cool?")</f>
        <v>We Cool?</v>
      </c>
      <c r="D424" s="7">
        <v>2015</v>
      </c>
    </row>
    <row r="425" spans="1:4" ht="12.75">
      <c r="A425" s="27" t="s">
        <v>1842</v>
      </c>
      <c r="B425" s="28">
        <v>440</v>
      </c>
      <c r="C425" s="29" t="str">
        <f t="shared" si="26"/>
        <v>We Cool?</v>
      </c>
      <c r="D425" s="27">
        <v>2015</v>
      </c>
    </row>
    <row r="426" spans="1:4" ht="12.75">
      <c r="A426" s="7" t="s">
        <v>1843</v>
      </c>
      <c r="B426" s="8">
        <v>360</v>
      </c>
      <c r="C426" s="9" t="str">
        <f>HYPERLINK("https://en.wikipedia.org/wiki/Worry._(album)","Worry.")</f>
        <v>Worry.</v>
      </c>
      <c r="D426" s="7">
        <v>2016</v>
      </c>
    </row>
    <row r="427" spans="1:4" ht="12.75">
      <c r="A427" s="27" t="s">
        <v>1844</v>
      </c>
      <c r="B427" s="28">
        <v>344</v>
      </c>
      <c r="C427" s="29" t="str">
        <f>HYPERLINK("https://en.wikipedia.org/wiki/We_Cool%3F","We Cool?")</f>
        <v>We Cool?</v>
      </c>
      <c r="D427" s="27">
        <v>2015</v>
      </c>
    </row>
    <row r="428" spans="1:4" ht="12.75">
      <c r="A428" s="7" t="s">
        <v>1845</v>
      </c>
      <c r="B428" s="8">
        <v>341</v>
      </c>
      <c r="C428" s="9" t="str">
        <f t="shared" ref="C428:C430" si="27">HYPERLINK("https://en.wikipedia.org/wiki/Worry._(album)","Worry.")</f>
        <v>Worry.</v>
      </c>
      <c r="D428" s="7">
        <v>2016</v>
      </c>
    </row>
    <row r="429" spans="1:4" ht="12.75">
      <c r="A429" s="27" t="s">
        <v>1846</v>
      </c>
      <c r="B429" s="28">
        <v>312</v>
      </c>
      <c r="C429" s="29" t="str">
        <f t="shared" si="27"/>
        <v>Worry.</v>
      </c>
      <c r="D429" s="27">
        <v>2016</v>
      </c>
    </row>
    <row r="430" spans="1:4" ht="12.75">
      <c r="A430" s="7" t="s">
        <v>1847</v>
      </c>
      <c r="B430" s="8">
        <v>309</v>
      </c>
      <c r="C430" s="9" t="str">
        <f t="shared" si="27"/>
        <v>Worry.</v>
      </c>
      <c r="D430" s="7">
        <v>2016</v>
      </c>
    </row>
    <row r="431" spans="1:4" ht="12.75">
      <c r="A431" s="138" t="s">
        <v>3974</v>
      </c>
      <c r="B431" s="28">
        <v>290</v>
      </c>
      <c r="C431" s="29" t="str">
        <f>HYPERLINK("https://en.wikipedia.org/wiki/POST-","POST-")</f>
        <v>POST-</v>
      </c>
      <c r="D431" s="27">
        <v>2018</v>
      </c>
    </row>
    <row r="432" spans="1:4" ht="12.75">
      <c r="A432" s="7" t="s">
        <v>1848</v>
      </c>
      <c r="B432" s="8">
        <v>276</v>
      </c>
      <c r="C432" s="9" t="str">
        <f>HYPERLINK("https://en.wikipedia.org/wiki/We_Cool%3F","We Cool?")</f>
        <v>We Cool?</v>
      </c>
      <c r="D432" s="7">
        <v>2015</v>
      </c>
    </row>
    <row r="433" spans="1:4" ht="12.75">
      <c r="A433" s="27" t="s">
        <v>1849</v>
      </c>
      <c r="B433" s="28">
        <v>272</v>
      </c>
      <c r="C433" s="29" t="str">
        <f>HYPERLINK("https://en.wikipedia.org/wiki/POST-","POST-")</f>
        <v>POST-</v>
      </c>
      <c r="D433" s="27">
        <v>2018</v>
      </c>
    </row>
    <row r="434" spans="1:4" ht="12.75">
      <c r="A434" s="152"/>
      <c r="B434" s="153"/>
      <c r="C434" s="153"/>
      <c r="D434" s="154"/>
    </row>
    <row r="435" spans="1:4" ht="18">
      <c r="A435" s="22" t="s">
        <v>1850</v>
      </c>
      <c r="B435" s="30">
        <v>44222</v>
      </c>
      <c r="C435" s="24"/>
      <c r="D435" s="32" t="s">
        <v>1</v>
      </c>
    </row>
    <row r="436" spans="1:4" ht="12.75">
      <c r="A436" s="26" t="s">
        <v>2</v>
      </c>
      <c r="B436" s="26" t="s">
        <v>3</v>
      </c>
      <c r="C436" s="26" t="s">
        <v>4</v>
      </c>
      <c r="D436" s="26" t="s">
        <v>5</v>
      </c>
    </row>
    <row r="437" spans="1:4" ht="12.75">
      <c r="A437" s="7" t="s">
        <v>1851</v>
      </c>
      <c r="B437" s="8">
        <v>68</v>
      </c>
      <c r="C437" s="9" t="s">
        <v>1852</v>
      </c>
      <c r="D437" s="7">
        <v>2016</v>
      </c>
    </row>
    <row r="438" spans="1:4" ht="12.75">
      <c r="A438" s="27" t="s">
        <v>1853</v>
      </c>
      <c r="B438" s="28">
        <v>63</v>
      </c>
      <c r="C438" s="29" t="s">
        <v>1854</v>
      </c>
      <c r="D438" s="27">
        <v>2015</v>
      </c>
    </row>
    <row r="439" spans="1:4" ht="12.75">
      <c r="A439" s="7" t="s">
        <v>938</v>
      </c>
      <c r="B439" s="8">
        <v>47</v>
      </c>
      <c r="C439" s="9" t="s">
        <v>1855</v>
      </c>
      <c r="D439" s="7">
        <v>2019</v>
      </c>
    </row>
    <row r="440" spans="1:4" ht="12.75">
      <c r="A440" s="27" t="s">
        <v>1856</v>
      </c>
      <c r="B440" s="28">
        <v>38</v>
      </c>
      <c r="C440" s="29" t="s">
        <v>1857</v>
      </c>
      <c r="D440" s="27">
        <v>2018</v>
      </c>
    </row>
    <row r="441" spans="1:4" ht="12.75">
      <c r="A441" s="7" t="s">
        <v>1858</v>
      </c>
      <c r="B441" s="8">
        <v>37</v>
      </c>
      <c r="C441" s="9" t="s">
        <v>1852</v>
      </c>
      <c r="D441" s="7">
        <v>2016</v>
      </c>
    </row>
    <row r="442" spans="1:4" ht="12.75">
      <c r="A442" s="27" t="s">
        <v>1859</v>
      </c>
      <c r="B442" s="28">
        <v>23</v>
      </c>
      <c r="C442" s="29" t="s">
        <v>1854</v>
      </c>
      <c r="D442" s="27">
        <v>2015</v>
      </c>
    </row>
    <row r="443" spans="1:4" ht="12.75">
      <c r="A443" s="7" t="s">
        <v>1860</v>
      </c>
      <c r="B443" s="8">
        <v>19</v>
      </c>
      <c r="C443" s="9" t="s">
        <v>1855</v>
      </c>
      <c r="D443" s="7">
        <v>2019</v>
      </c>
    </row>
    <row r="444" spans="1:4" ht="12.75">
      <c r="A444" s="27" t="s">
        <v>1861</v>
      </c>
      <c r="B444" s="28">
        <v>18</v>
      </c>
      <c r="C444" s="29" t="s">
        <v>1854</v>
      </c>
      <c r="D444" s="27">
        <v>2015</v>
      </c>
    </row>
    <row r="445" spans="1:4" ht="12.75">
      <c r="A445" s="7" t="s">
        <v>1862</v>
      </c>
      <c r="B445" s="8">
        <v>17</v>
      </c>
      <c r="C445" s="9" t="s">
        <v>1855</v>
      </c>
      <c r="D445" s="7">
        <v>2019</v>
      </c>
    </row>
    <row r="446" spans="1:4" ht="12.75">
      <c r="A446" s="27" t="s">
        <v>1863</v>
      </c>
      <c r="B446" s="28">
        <v>16</v>
      </c>
      <c r="C446" s="29" t="s">
        <v>1852</v>
      </c>
      <c r="D446" s="27">
        <v>2016</v>
      </c>
    </row>
    <row r="447" spans="1:4" ht="12.75">
      <c r="A447" s="152"/>
      <c r="B447" s="153"/>
      <c r="C447" s="153"/>
      <c r="D447" s="154"/>
    </row>
    <row r="448" spans="1:4" ht="18">
      <c r="A448" s="22" t="str">
        <f>HYPERLINK("https://www.reddit.com/r/indieheads/comments/9onvqv/top_ten_tuesday_jens_lekman/","Jens Lekman")</f>
        <v>Jens Lekman</v>
      </c>
      <c r="B448" s="43">
        <v>43389</v>
      </c>
      <c r="C448" s="24"/>
      <c r="D448" s="32" t="s">
        <v>1</v>
      </c>
    </row>
    <row r="449" spans="1:4" ht="12.75">
      <c r="A449" s="26" t="s">
        <v>2</v>
      </c>
      <c r="B449" s="26" t="s">
        <v>3</v>
      </c>
      <c r="C449" s="26" t="s">
        <v>4</v>
      </c>
      <c r="D449" s="26" t="s">
        <v>5</v>
      </c>
    </row>
    <row r="450" spans="1:4" ht="12.75">
      <c r="A450" s="7" t="s">
        <v>1864</v>
      </c>
      <c r="B450" s="8">
        <v>118</v>
      </c>
      <c r="C450" s="9" t="str">
        <f>HYPERLINK("https://en.wikipedia.org/wiki/Night_Falls_Over_Kortedala","Night Falls Over Kortedala")</f>
        <v>Night Falls Over Kortedala</v>
      </c>
      <c r="D450" s="7">
        <v>2007</v>
      </c>
    </row>
    <row r="451" spans="1:4" ht="12.75">
      <c r="A451" s="27" t="s">
        <v>1865</v>
      </c>
      <c r="B451" s="28">
        <v>113</v>
      </c>
      <c r="C451" s="29" t="str">
        <f>HYPERLINK("https://en.wikipedia.org/wiki/When_I_Said_I_Wanted_to_Be_Your_Dog","When I Said I Wanted to Be Your Dog")</f>
        <v>When I Said I Wanted to Be Your Dog</v>
      </c>
      <c r="D451" s="27">
        <v>2004</v>
      </c>
    </row>
    <row r="452" spans="1:4" ht="12.75">
      <c r="A452" s="7" t="s">
        <v>1866</v>
      </c>
      <c r="B452" s="8">
        <v>85</v>
      </c>
      <c r="C452" s="9" t="str">
        <f t="shared" ref="C452:C455" si="28">HYPERLINK("https://en.wikipedia.org/wiki/Night_Falls_Over_Kortedala","Night Falls Over Kortedala")</f>
        <v>Night Falls Over Kortedala</v>
      </c>
      <c r="D452" s="7">
        <v>2007</v>
      </c>
    </row>
    <row r="453" spans="1:4" ht="12.75">
      <c r="A453" s="27" t="s">
        <v>1867</v>
      </c>
      <c r="B453" s="28">
        <v>80</v>
      </c>
      <c r="C453" s="29" t="str">
        <f t="shared" si="28"/>
        <v>Night Falls Over Kortedala</v>
      </c>
      <c r="D453" s="27">
        <v>2007</v>
      </c>
    </row>
    <row r="454" spans="1:4" ht="12.75">
      <c r="A454" s="7" t="s">
        <v>1868</v>
      </c>
      <c r="B454" s="8">
        <v>67</v>
      </c>
      <c r="C454" s="9" t="str">
        <f t="shared" si="28"/>
        <v>Night Falls Over Kortedala</v>
      </c>
      <c r="D454" s="7">
        <v>2007</v>
      </c>
    </row>
    <row r="455" spans="1:4" ht="12.75">
      <c r="A455" s="27" t="s">
        <v>1869</v>
      </c>
      <c r="B455" s="28">
        <v>57</v>
      </c>
      <c r="C455" s="29" t="str">
        <f t="shared" si="28"/>
        <v>Night Falls Over Kortedala</v>
      </c>
      <c r="D455" s="27">
        <v>2007</v>
      </c>
    </row>
    <row r="456" spans="1:4" ht="12.75">
      <c r="A456" s="7" t="s">
        <v>1870</v>
      </c>
      <c r="B456" s="8">
        <v>56</v>
      </c>
      <c r="C456" s="9" t="str">
        <f>HYPERLINK("https://en.wikipedia.org/wiki/I_Know_What_Love_Isn%27t","I Know What Love Isn't")</f>
        <v>I Know What Love Isn't</v>
      </c>
      <c r="D456" s="7">
        <v>2012</v>
      </c>
    </row>
    <row r="457" spans="1:4" ht="12.75">
      <c r="A457" s="27" t="s">
        <v>1871</v>
      </c>
      <c r="B457" s="28">
        <v>56</v>
      </c>
      <c r="C457" s="29" t="str">
        <f>HYPERLINK("https://en.wikipedia.org/wiki/An_Argument_with_Myself","An Argument With Myself EP")</f>
        <v>An Argument With Myself EP</v>
      </c>
      <c r="D457" s="27">
        <v>2011</v>
      </c>
    </row>
    <row r="458" spans="1:4" ht="12.75">
      <c r="A458" s="7" t="s">
        <v>1872</v>
      </c>
      <c r="B458" s="8">
        <v>53</v>
      </c>
      <c r="C458" s="9" t="str">
        <f>HYPERLINK("https://en.wikipedia.org/wiki/Life_Will_See_You_Now","Life Will See You Now")</f>
        <v>Life Will See You Now</v>
      </c>
      <c r="D458" s="7">
        <v>2017</v>
      </c>
    </row>
    <row r="459" spans="1:4" ht="12.75">
      <c r="A459" s="27" t="s">
        <v>1873</v>
      </c>
      <c r="B459" s="28">
        <v>52</v>
      </c>
      <c r="C459" s="29" t="str">
        <f>HYPERLINK("https://en.wikipedia.org/wiki/I_Know_What_Love_Isn%27t","I Know What Love Isn't")</f>
        <v>I Know What Love Isn't</v>
      </c>
      <c r="D459" s="27">
        <v>2012</v>
      </c>
    </row>
    <row r="460" spans="1:4" ht="12.75">
      <c r="A460" s="152"/>
      <c r="B460" s="153"/>
      <c r="C460" s="153"/>
      <c r="D460" s="154"/>
    </row>
    <row r="461" spans="1:4" ht="18">
      <c r="A461" s="72" t="s">
        <v>1874</v>
      </c>
      <c r="B461" s="73">
        <v>44838</v>
      </c>
      <c r="C461" s="74"/>
      <c r="D461" s="75"/>
    </row>
    <row r="462" spans="1:4" ht="12.75">
      <c r="A462" s="83" t="s">
        <v>2</v>
      </c>
      <c r="B462" s="84" t="s">
        <v>3</v>
      </c>
      <c r="C462" s="83" t="s">
        <v>4</v>
      </c>
      <c r="D462" s="83" t="s">
        <v>5</v>
      </c>
    </row>
    <row r="463" spans="1:4" ht="12.75">
      <c r="A463" s="79" t="s">
        <v>1875</v>
      </c>
      <c r="B463" s="85">
        <v>101</v>
      </c>
      <c r="C463" s="79" t="s">
        <v>1875</v>
      </c>
      <c r="D463" s="79">
        <v>2020</v>
      </c>
    </row>
    <row r="464" spans="1:4" ht="12.75">
      <c r="A464" s="80" t="s">
        <v>1876</v>
      </c>
      <c r="B464" s="86">
        <v>94</v>
      </c>
      <c r="C464" s="80" t="s">
        <v>1875</v>
      </c>
      <c r="D464" s="80">
        <v>2020</v>
      </c>
    </row>
    <row r="465" spans="1:4" ht="12.75">
      <c r="A465" s="79" t="s">
        <v>1877</v>
      </c>
      <c r="B465" s="85">
        <v>92</v>
      </c>
      <c r="C465" s="79" t="s">
        <v>1878</v>
      </c>
      <c r="D465" s="79">
        <v>2012</v>
      </c>
    </row>
    <row r="466" spans="1:4" ht="12.75">
      <c r="A466" s="80" t="s">
        <v>1879</v>
      </c>
      <c r="B466" s="86">
        <v>79</v>
      </c>
      <c r="C466" s="80" t="s">
        <v>1878</v>
      </c>
      <c r="D466" s="80">
        <v>2012</v>
      </c>
    </row>
    <row r="467" spans="1:4" ht="12.75">
      <c r="A467" s="79" t="s">
        <v>1880</v>
      </c>
      <c r="B467" s="85">
        <v>64</v>
      </c>
      <c r="C467" s="79" t="s">
        <v>1875</v>
      </c>
      <c r="D467" s="79">
        <v>2020</v>
      </c>
    </row>
    <row r="468" spans="1:4" ht="12.75">
      <c r="A468" s="80" t="s">
        <v>1881</v>
      </c>
      <c r="B468" s="86">
        <v>57</v>
      </c>
      <c r="C468" s="80" t="s">
        <v>1875</v>
      </c>
      <c r="D468" s="80">
        <v>2020</v>
      </c>
    </row>
    <row r="469" spans="1:4" ht="12.75">
      <c r="A469" s="79" t="s">
        <v>1882</v>
      </c>
      <c r="B469" s="85">
        <v>53</v>
      </c>
      <c r="C469" s="79" t="s">
        <v>1875</v>
      </c>
      <c r="D469" s="79">
        <v>2020</v>
      </c>
    </row>
    <row r="470" spans="1:4" ht="12.75">
      <c r="A470" s="80" t="s">
        <v>1883</v>
      </c>
      <c r="B470" s="86">
        <v>46</v>
      </c>
      <c r="C470" s="80" t="s">
        <v>1875</v>
      </c>
      <c r="D470" s="80">
        <v>2020</v>
      </c>
    </row>
    <row r="471" spans="1:4" ht="12.75">
      <c r="A471" s="79" t="s">
        <v>1884</v>
      </c>
      <c r="B471" s="85">
        <v>42</v>
      </c>
      <c r="C471" s="79" t="s">
        <v>1878</v>
      </c>
      <c r="D471" s="79">
        <v>2012</v>
      </c>
    </row>
    <row r="472" spans="1:4" ht="12.75">
      <c r="A472" s="80" t="s">
        <v>1885</v>
      </c>
      <c r="B472" s="86">
        <v>35</v>
      </c>
      <c r="C472" s="80"/>
      <c r="D472" s="80">
        <v>2022</v>
      </c>
    </row>
    <row r="473" spans="1:4" ht="18">
      <c r="A473" s="159"/>
      <c r="B473" s="153"/>
      <c r="C473" s="153"/>
      <c r="D473" s="154"/>
    </row>
    <row r="474" spans="1:4" ht="18">
      <c r="A474" s="22" t="str">
        <f>HYPERLINK("https://www.reddit.com/r/indieheads/comments/abhp6n/top_ten_tuesday_the_jesus_and_mary_chain/","The Jesus and Mary Chain")</f>
        <v>The Jesus and Mary Chain</v>
      </c>
      <c r="B474" s="30">
        <v>43466</v>
      </c>
      <c r="C474" s="24"/>
      <c r="D474" s="32" t="s">
        <v>1</v>
      </c>
    </row>
    <row r="475" spans="1:4" ht="12.75">
      <c r="A475" s="26" t="s">
        <v>2</v>
      </c>
      <c r="B475" s="26" t="s">
        <v>3</v>
      </c>
      <c r="C475" s="26" t="s">
        <v>4</v>
      </c>
      <c r="D475" s="26" t="s">
        <v>5</v>
      </c>
    </row>
    <row r="476" spans="1:4" ht="12.75">
      <c r="A476" s="7" t="s">
        <v>1886</v>
      </c>
      <c r="B476" s="8">
        <v>118</v>
      </c>
      <c r="C476" s="9" t="str">
        <f>HYPERLINK("https://en.wikipedia.org/wiki/Psychocandy","Psychocandy")</f>
        <v>Psychocandy</v>
      </c>
      <c r="D476" s="7">
        <v>1985</v>
      </c>
    </row>
    <row r="477" spans="1:4" ht="12.75">
      <c r="A477" s="27" t="s">
        <v>1887</v>
      </c>
      <c r="B477" s="28">
        <v>103</v>
      </c>
      <c r="C477" s="29" t="str">
        <f t="shared" ref="C477:C478" si="29">HYPERLINK("https://en.wikipedia.org/wiki/Darklands_(album)","Darklands")</f>
        <v>Darklands</v>
      </c>
      <c r="D477" s="27">
        <v>1987</v>
      </c>
    </row>
    <row r="478" spans="1:4" ht="12.75">
      <c r="A478" s="7" t="s">
        <v>1888</v>
      </c>
      <c r="B478" s="8">
        <v>78</v>
      </c>
      <c r="C478" s="9" t="str">
        <f t="shared" si="29"/>
        <v>Darklands</v>
      </c>
      <c r="D478" s="7">
        <v>1987</v>
      </c>
    </row>
    <row r="479" spans="1:4" ht="12.75">
      <c r="A479" s="27" t="s">
        <v>1889</v>
      </c>
      <c r="B479" s="28">
        <v>62</v>
      </c>
      <c r="C479" s="29" t="str">
        <f>HYPERLINK("https://en.wikipedia.org/wiki/Automatic_(The_Jesus_and_Mary_Chain_album)","Automatic")</f>
        <v>Automatic</v>
      </c>
      <c r="D479" s="27">
        <v>1989</v>
      </c>
    </row>
    <row r="480" spans="1:4" ht="12.75">
      <c r="A480" s="7" t="s">
        <v>1890</v>
      </c>
      <c r="B480" s="8">
        <v>62</v>
      </c>
      <c r="C480" s="9" t="str">
        <f>HYPERLINK("https://en.wikipedia.org/wiki/Darklands_(album)","Darklands")</f>
        <v>Darklands</v>
      </c>
      <c r="D480" s="7">
        <v>1987</v>
      </c>
    </row>
    <row r="481" spans="1:4" ht="12.75">
      <c r="A481" s="27" t="s">
        <v>1891</v>
      </c>
      <c r="B481" s="28">
        <v>54</v>
      </c>
      <c r="C481" s="29" t="str">
        <f>HYPERLINK("https://en.wikipedia.org/wiki/Psychocandy","Psychocandy")</f>
        <v>Psychocandy</v>
      </c>
      <c r="D481" s="27">
        <v>1985</v>
      </c>
    </row>
    <row r="482" spans="1:4" ht="12.75">
      <c r="A482" s="7" t="s">
        <v>1892</v>
      </c>
      <c r="B482" s="8">
        <v>40</v>
      </c>
      <c r="C482" s="7"/>
      <c r="D482" s="7">
        <v>1984</v>
      </c>
    </row>
    <row r="483" spans="1:4" ht="12.75">
      <c r="A483" s="27" t="s">
        <v>1893</v>
      </c>
      <c r="B483" s="28">
        <v>36</v>
      </c>
      <c r="C483" s="29" t="str">
        <f>HYPERLINK("https://en.wikipedia.org/wiki/Psychocandy","Psychocandy")</f>
        <v>Psychocandy</v>
      </c>
      <c r="D483" s="27">
        <v>1985</v>
      </c>
    </row>
    <row r="484" spans="1:4" ht="12.75">
      <c r="A484" s="7" t="s">
        <v>1894</v>
      </c>
      <c r="B484" s="8">
        <v>31</v>
      </c>
      <c r="C484" s="9" t="str">
        <f>HYPERLINK("https://en.wikipedia.org/wiki/Automatic_(The_Jesus_and_Mary_Chain_album)","Automatic")</f>
        <v>Automatic</v>
      </c>
      <c r="D484" s="7">
        <v>1989</v>
      </c>
    </row>
    <row r="485" spans="1:4" ht="12.75">
      <c r="A485" s="27" t="s">
        <v>1895</v>
      </c>
      <c r="B485" s="28">
        <v>28</v>
      </c>
      <c r="C485" s="29" t="str">
        <f>HYPERLINK("https://en.wikipedia.org/wiki/Psychocandy","Psychocandy")</f>
        <v>Psychocandy</v>
      </c>
      <c r="D485" s="27">
        <v>1985</v>
      </c>
    </row>
    <row r="486" spans="1:4" ht="12.75">
      <c r="A486" s="152"/>
      <c r="B486" s="153"/>
      <c r="C486" s="153"/>
      <c r="D486" s="154"/>
    </row>
    <row r="487" spans="1:4" ht="18">
      <c r="A487" s="22" t="s">
        <v>1896</v>
      </c>
      <c r="B487" s="30">
        <v>44418</v>
      </c>
      <c r="C487" s="24"/>
      <c r="D487" s="32" t="s">
        <v>1</v>
      </c>
    </row>
    <row r="488" spans="1:4" ht="12.75">
      <c r="A488" s="26" t="s">
        <v>2</v>
      </c>
      <c r="B488" s="26" t="s">
        <v>3</v>
      </c>
      <c r="C488" s="26" t="s">
        <v>4</v>
      </c>
      <c r="D488" s="26" t="s">
        <v>5</v>
      </c>
    </row>
    <row r="489" spans="1:4" ht="12.75">
      <c r="A489" s="40">
        <v>23</v>
      </c>
      <c r="B489" s="8">
        <v>275</v>
      </c>
      <c r="C489" s="9" t="s">
        <v>1897</v>
      </c>
      <c r="D489" s="7">
        <v>2004</v>
      </c>
    </row>
    <row r="490" spans="1:4" ht="12.75">
      <c r="A490" s="27" t="s">
        <v>1898</v>
      </c>
      <c r="B490" s="28">
        <v>189</v>
      </c>
      <c r="C490" s="29" t="s">
        <v>1899</v>
      </c>
      <c r="D490" s="27">
        <v>2001</v>
      </c>
    </row>
    <row r="491" spans="1:4" ht="12.75">
      <c r="A491" s="7" t="s">
        <v>1900</v>
      </c>
      <c r="B491" s="8">
        <v>156</v>
      </c>
      <c r="C491" s="9" t="s">
        <v>1901</v>
      </c>
      <c r="D491" s="7">
        <v>1999</v>
      </c>
    </row>
    <row r="492" spans="1:4" ht="12.75">
      <c r="A492" s="27" t="s">
        <v>1902</v>
      </c>
      <c r="B492" s="28">
        <v>131</v>
      </c>
      <c r="C492" s="29" t="s">
        <v>1901</v>
      </c>
      <c r="D492" s="27">
        <v>1999</v>
      </c>
    </row>
    <row r="493" spans="1:4" ht="12.75">
      <c r="A493" s="7" t="s">
        <v>1903</v>
      </c>
      <c r="B493" s="8">
        <v>130</v>
      </c>
      <c r="C493" s="9" t="s">
        <v>1901</v>
      </c>
      <c r="D493" s="7">
        <v>1999</v>
      </c>
    </row>
    <row r="494" spans="1:4" ht="12.75">
      <c r="A494" s="27" t="s">
        <v>1904</v>
      </c>
      <c r="B494" s="28">
        <v>112</v>
      </c>
      <c r="C494" s="29" t="s">
        <v>1899</v>
      </c>
      <c r="D494" s="27">
        <v>2001</v>
      </c>
    </row>
    <row r="495" spans="1:4" ht="12.75">
      <c r="A495" s="7" t="s">
        <v>1905</v>
      </c>
      <c r="B495" s="8">
        <v>105</v>
      </c>
      <c r="C495" s="9" t="s">
        <v>1897</v>
      </c>
      <c r="D495" s="7">
        <v>2004</v>
      </c>
    </row>
    <row r="496" spans="1:4" ht="12.75">
      <c r="A496" s="27" t="s">
        <v>1906</v>
      </c>
      <c r="B496" s="28">
        <v>91</v>
      </c>
      <c r="C496" s="29" t="s">
        <v>1901</v>
      </c>
      <c r="D496" s="27">
        <v>1999</v>
      </c>
    </row>
    <row r="497" spans="1:4" ht="12.75">
      <c r="A497" s="7" t="s">
        <v>1899</v>
      </c>
      <c r="B497" s="8">
        <v>89</v>
      </c>
      <c r="C497" s="9" t="s">
        <v>1899</v>
      </c>
      <c r="D497" s="7">
        <v>2001</v>
      </c>
    </row>
    <row r="498" spans="1:4" ht="12.75">
      <c r="A498" s="27" t="s">
        <v>1907</v>
      </c>
      <c r="B498" s="28">
        <v>86</v>
      </c>
      <c r="C498" s="29" t="s">
        <v>1897</v>
      </c>
      <c r="D498" s="27">
        <v>2004</v>
      </c>
    </row>
    <row r="499" spans="1:4" ht="12.75">
      <c r="A499" s="152"/>
      <c r="B499" s="153"/>
      <c r="C499" s="153"/>
      <c r="D499" s="154"/>
    </row>
    <row r="500" spans="1:4" ht="18">
      <c r="A500" s="22" t="str">
        <f>HYPERLINK("https://www.reddit.com/r/indieheads/comments/4gjx2y/top_ten_tuesday_joanna_newsom/","Joanna Newsom")</f>
        <v>Joanna Newsom</v>
      </c>
      <c r="B500" s="23">
        <v>42486</v>
      </c>
      <c r="C500" s="24"/>
      <c r="D500" s="24"/>
    </row>
    <row r="501" spans="1:4" ht="12.75">
      <c r="A501" s="26" t="s">
        <v>2</v>
      </c>
      <c r="B501" s="26" t="s">
        <v>3</v>
      </c>
      <c r="C501" s="26" t="s">
        <v>4</v>
      </c>
      <c r="D501" s="26" t="s">
        <v>5</v>
      </c>
    </row>
    <row r="502" spans="1:4" ht="12.75">
      <c r="A502" s="7" t="s">
        <v>1908</v>
      </c>
      <c r="B502" s="8">
        <v>328</v>
      </c>
      <c r="C502" s="9" t="str">
        <f t="shared" ref="C502:C504" si="30">HYPERLINK("https://en.wikipedia.org/wiki/Ys_(Joanna_Newsom_album)","Ys")</f>
        <v>Ys</v>
      </c>
      <c r="D502" s="7">
        <v>2006</v>
      </c>
    </row>
    <row r="503" spans="1:4" ht="12.75">
      <c r="A503" s="27" t="s">
        <v>1909</v>
      </c>
      <c r="B503" s="28">
        <v>317</v>
      </c>
      <c r="C503" s="29" t="str">
        <f t="shared" si="30"/>
        <v>Ys</v>
      </c>
      <c r="D503" s="27">
        <v>2006</v>
      </c>
    </row>
    <row r="504" spans="1:4" ht="12.75">
      <c r="A504" s="7" t="s">
        <v>1910</v>
      </c>
      <c r="B504" s="8">
        <v>202</v>
      </c>
      <c r="C504" s="9" t="str">
        <f t="shared" si="30"/>
        <v>Ys</v>
      </c>
      <c r="D504" s="7">
        <v>2006</v>
      </c>
    </row>
    <row r="505" spans="1:4" ht="12.75">
      <c r="A505" s="27" t="s">
        <v>1911</v>
      </c>
      <c r="B505" s="28">
        <v>190</v>
      </c>
      <c r="C505" s="29" t="str">
        <f t="shared" ref="C505:C506" si="31">HYPERLINK("https://en.wikipedia.org/wiki/Have_One_on_Me","Have One on Me")</f>
        <v>Have One on Me</v>
      </c>
      <c r="D505" s="27">
        <v>2010</v>
      </c>
    </row>
    <row r="506" spans="1:4" ht="12.75">
      <c r="A506" s="7" t="s">
        <v>1912</v>
      </c>
      <c r="B506" s="8">
        <v>172</v>
      </c>
      <c r="C506" s="9" t="str">
        <f t="shared" si="31"/>
        <v>Have One on Me</v>
      </c>
      <c r="D506" s="7">
        <v>2010</v>
      </c>
    </row>
    <row r="507" spans="1:4" ht="12.75">
      <c r="A507" s="27" t="s">
        <v>1913</v>
      </c>
      <c r="B507" s="28">
        <v>152</v>
      </c>
      <c r="C507" s="29" t="str">
        <f>HYPERLINK("https://en.wikipedia.org/wiki/Ys_(Joanna_Newsom_album)","Ys")</f>
        <v>Ys</v>
      </c>
      <c r="D507" s="27">
        <v>2006</v>
      </c>
    </row>
    <row r="508" spans="1:4" ht="12.75">
      <c r="A508" s="7" t="s">
        <v>1914</v>
      </c>
      <c r="B508" s="8">
        <v>144</v>
      </c>
      <c r="C508" s="9" t="str">
        <f>HYPERLINK("https://en.wikipedia.org/wiki/Have_One_on_Me","Have One on Me")</f>
        <v>Have One on Me</v>
      </c>
      <c r="D508" s="7">
        <v>2010</v>
      </c>
    </row>
    <row r="509" spans="1:4" ht="12.75">
      <c r="A509" s="27" t="s">
        <v>1915</v>
      </c>
      <c r="B509" s="28">
        <v>129</v>
      </c>
      <c r="C509" s="29" t="str">
        <f>HYPERLINK("https://en.wikipedia.org/wiki/Divers_(Joanna_Newsom_album)","Divers")</f>
        <v>Divers</v>
      </c>
      <c r="D509" s="27">
        <v>2015</v>
      </c>
    </row>
    <row r="510" spans="1:4" ht="12.75">
      <c r="A510" s="7" t="s">
        <v>1916</v>
      </c>
      <c r="B510" s="8">
        <v>123</v>
      </c>
      <c r="C510" s="9" t="str">
        <f>HYPERLINK("https://en.wikipedia.org/wiki/Have_One_on_Me","Have One on Me")</f>
        <v>Have One on Me</v>
      </c>
      <c r="D510" s="7">
        <v>2010</v>
      </c>
    </row>
    <row r="511" spans="1:4" ht="12.75">
      <c r="A511" s="27" t="s">
        <v>1917</v>
      </c>
      <c r="B511" s="28">
        <v>101</v>
      </c>
      <c r="C511" s="29" t="str">
        <f>HYPERLINK("https://en.wikipedia.org/wiki/The_Milk-Eyed_Mender","The Milk-Eyed Mender")</f>
        <v>The Milk-Eyed Mender</v>
      </c>
      <c r="D511" s="27">
        <v>2004</v>
      </c>
    </row>
    <row r="512" spans="1:4" ht="12.75">
      <c r="A512" s="152"/>
      <c r="B512" s="153"/>
      <c r="C512" s="153"/>
      <c r="D512" s="154"/>
    </row>
    <row r="513" spans="1:26" ht="18">
      <c r="A513" s="53" t="s">
        <v>1918</v>
      </c>
      <c r="B513" s="87">
        <v>44698</v>
      </c>
      <c r="C513" s="55"/>
      <c r="D513" s="55"/>
    </row>
    <row r="514" spans="1:26" ht="12.75">
      <c r="A514" s="56" t="s">
        <v>2</v>
      </c>
      <c r="B514" s="56" t="s">
        <v>3</v>
      </c>
      <c r="C514" s="56" t="s">
        <v>4</v>
      </c>
      <c r="D514" s="56" t="s">
        <v>5</v>
      </c>
    </row>
    <row r="515" spans="1:26" ht="12.75">
      <c r="A515" s="16" t="s">
        <v>1919</v>
      </c>
      <c r="B515" s="16">
        <v>96</v>
      </c>
      <c r="C515" s="16" t="s">
        <v>1920</v>
      </c>
      <c r="D515" s="16">
        <v>2013</v>
      </c>
    </row>
    <row r="516" spans="1:26" ht="12.75">
      <c r="A516" s="58" t="s">
        <v>1920</v>
      </c>
      <c r="B516" s="58">
        <v>80</v>
      </c>
      <c r="C516" s="58" t="s">
        <v>1920</v>
      </c>
      <c r="D516" s="58">
        <v>2013</v>
      </c>
    </row>
    <row r="517" spans="1:26" ht="12.75">
      <c r="A517" s="16" t="s">
        <v>1921</v>
      </c>
      <c r="B517" s="16">
        <v>77</v>
      </c>
      <c r="C517" s="16" t="s">
        <v>1922</v>
      </c>
      <c r="D517" s="16">
        <v>2018</v>
      </c>
    </row>
    <row r="518" spans="1:26" ht="12.75">
      <c r="A518" s="58" t="s">
        <v>1923</v>
      </c>
      <c r="B518" s="58">
        <v>68</v>
      </c>
      <c r="C518" s="58" t="s">
        <v>1920</v>
      </c>
      <c r="D518" s="58">
        <v>2013</v>
      </c>
    </row>
    <row r="519" spans="1:26" ht="12.75">
      <c r="A519" s="16" t="s">
        <v>1924</v>
      </c>
      <c r="B519" s="16">
        <v>53</v>
      </c>
      <c r="C519" s="16" t="s">
        <v>1925</v>
      </c>
      <c r="D519" s="16">
        <v>2009</v>
      </c>
    </row>
    <row r="520" spans="1:26" ht="12.75">
      <c r="A520" s="58" t="s">
        <v>1926</v>
      </c>
      <c r="B520" s="58">
        <v>51</v>
      </c>
      <c r="C520" s="58" t="s">
        <v>1922</v>
      </c>
      <c r="D520" s="58">
        <v>2018</v>
      </c>
    </row>
    <row r="521" spans="1:26" ht="12.75">
      <c r="A521" s="137" t="s">
        <v>3975</v>
      </c>
      <c r="B521" s="16">
        <v>36</v>
      </c>
      <c r="C521" s="16" t="s">
        <v>1920</v>
      </c>
      <c r="D521" s="16">
        <v>2013</v>
      </c>
    </row>
    <row r="522" spans="1:26" ht="12.75">
      <c r="A522" s="58" t="s">
        <v>1922</v>
      </c>
      <c r="B522" s="58">
        <v>35</v>
      </c>
      <c r="C522" s="58" t="s">
        <v>1922</v>
      </c>
      <c r="D522" s="58">
        <v>2018</v>
      </c>
    </row>
    <row r="523" spans="1:26" ht="12.75">
      <c r="A523" s="16" t="s">
        <v>1927</v>
      </c>
      <c r="B523" s="16">
        <v>30</v>
      </c>
      <c r="C523" s="16" t="s">
        <v>1922</v>
      </c>
      <c r="D523" s="16">
        <v>2018</v>
      </c>
    </row>
    <row r="524" spans="1:26" ht="12.75">
      <c r="A524" s="58" t="s">
        <v>1928</v>
      </c>
      <c r="B524" s="58">
        <v>26</v>
      </c>
      <c r="C524" s="58" t="s">
        <v>1920</v>
      </c>
      <c r="D524" s="58">
        <v>2013</v>
      </c>
    </row>
    <row r="525" spans="1:26" ht="12.75">
      <c r="A525" s="1"/>
      <c r="B525" s="1"/>
      <c r="C525" s="1"/>
      <c r="D525" s="1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spans="1:26" ht="18">
      <c r="A526" s="88" t="s">
        <v>1929</v>
      </c>
      <c r="B526" s="89">
        <v>44426</v>
      </c>
      <c r="C526" s="90"/>
      <c r="D526" s="91" t="s">
        <v>1</v>
      </c>
    </row>
    <row r="527" spans="1:26" ht="12.75">
      <c r="A527" s="26" t="s">
        <v>2</v>
      </c>
      <c r="B527" s="26" t="s">
        <v>3</v>
      </c>
      <c r="C527" s="26" t="s">
        <v>4</v>
      </c>
      <c r="D527" s="26" t="s">
        <v>5</v>
      </c>
    </row>
    <row r="528" spans="1:26" ht="12.75">
      <c r="A528" s="7" t="s">
        <v>1930</v>
      </c>
      <c r="B528" s="8">
        <v>183</v>
      </c>
      <c r="C528" s="9" t="s">
        <v>1931</v>
      </c>
      <c r="D528" s="7">
        <v>1971</v>
      </c>
    </row>
    <row r="529" spans="1:4" ht="12.75">
      <c r="A529" s="27" t="s">
        <v>1932</v>
      </c>
      <c r="B529" s="28">
        <v>153</v>
      </c>
      <c r="C529" s="29" t="s">
        <v>1933</v>
      </c>
      <c r="D529" s="27">
        <v>1976</v>
      </c>
    </row>
    <row r="530" spans="1:4" ht="12.75">
      <c r="A530" s="7" t="s">
        <v>1934</v>
      </c>
      <c r="B530" s="8">
        <v>139</v>
      </c>
      <c r="C530" s="9" t="s">
        <v>1931</v>
      </c>
      <c r="D530" s="7">
        <v>1971</v>
      </c>
    </row>
    <row r="531" spans="1:4" ht="12.75">
      <c r="A531" s="27" t="s">
        <v>1935</v>
      </c>
      <c r="B531" s="28">
        <v>127</v>
      </c>
      <c r="C531" s="29" t="s">
        <v>1936</v>
      </c>
      <c r="D531" s="27">
        <v>1974</v>
      </c>
    </row>
    <row r="532" spans="1:4" ht="12.75">
      <c r="A532" s="7" t="s">
        <v>1937</v>
      </c>
      <c r="B532" s="8">
        <v>125</v>
      </c>
      <c r="C532" s="9" t="s">
        <v>1938</v>
      </c>
      <c r="D532" s="7">
        <v>1969</v>
      </c>
    </row>
    <row r="533" spans="1:4" ht="12.75">
      <c r="A533" s="27" t="s">
        <v>1939</v>
      </c>
      <c r="B533" s="28">
        <v>119</v>
      </c>
      <c r="C533" s="29" t="s">
        <v>1933</v>
      </c>
      <c r="D533" s="27">
        <v>1976</v>
      </c>
    </row>
    <row r="534" spans="1:4" ht="12.75">
      <c r="A534" s="7" t="s">
        <v>1940</v>
      </c>
      <c r="B534" s="8">
        <v>90</v>
      </c>
      <c r="C534" s="9" t="s">
        <v>1931</v>
      </c>
      <c r="D534" s="7">
        <v>1971</v>
      </c>
    </row>
    <row r="535" spans="1:4" ht="12.75">
      <c r="A535" s="27" t="s">
        <v>1941</v>
      </c>
      <c r="B535" s="28">
        <v>89</v>
      </c>
      <c r="C535" s="29" t="s">
        <v>1931</v>
      </c>
      <c r="D535" s="27">
        <v>1971</v>
      </c>
    </row>
    <row r="536" spans="1:4" ht="12.75">
      <c r="A536" s="7" t="s">
        <v>1933</v>
      </c>
      <c r="B536" s="8">
        <v>74</v>
      </c>
      <c r="C536" s="9" t="s">
        <v>1933</v>
      </c>
      <c r="D536" s="7">
        <v>1976</v>
      </c>
    </row>
    <row r="537" spans="1:4" ht="12.75">
      <c r="A537" s="27" t="s">
        <v>1942</v>
      </c>
      <c r="B537" s="28">
        <v>71</v>
      </c>
      <c r="C537" s="29" t="s">
        <v>1931</v>
      </c>
      <c r="D537" s="27">
        <v>1971</v>
      </c>
    </row>
    <row r="538" spans="1:4" ht="12.75">
      <c r="A538" s="152"/>
      <c r="B538" s="153"/>
      <c r="C538" s="153"/>
      <c r="D538" s="154"/>
    </row>
    <row r="539" spans="1:4" ht="18">
      <c r="A539" s="22" t="str">
        <f>HYPERLINK("https://www.reddit.com/r/indieheads/comments/3ey6x2/top_ten_tuesday_joy_division/","Joy Division")</f>
        <v>Joy Division</v>
      </c>
      <c r="B539" s="23">
        <v>42213</v>
      </c>
      <c r="C539" s="24"/>
      <c r="D539" s="32" t="s">
        <v>1</v>
      </c>
    </row>
    <row r="540" spans="1:4" ht="12.75">
      <c r="A540" s="26" t="s">
        <v>2</v>
      </c>
      <c r="B540" s="26" t="s">
        <v>3</v>
      </c>
      <c r="C540" s="26" t="s">
        <v>4</v>
      </c>
      <c r="D540" s="26" t="s">
        <v>5</v>
      </c>
    </row>
    <row r="541" spans="1:4" ht="12.75">
      <c r="A541" s="19" t="str">
        <f>HYPERLINK("https://www.youtube.com/watch?v=fhCLalLXHP4","Disorder")</f>
        <v>Disorder</v>
      </c>
      <c r="B541" s="8">
        <v>174</v>
      </c>
      <c r="C541" s="9" t="str">
        <f>HYPERLINK("https://en.m.wikipedia.org/wiki/Unknown_Pleasures","Unknown Pleasures")</f>
        <v>Unknown Pleasures</v>
      </c>
      <c r="D541" s="7">
        <v>1979</v>
      </c>
    </row>
    <row r="542" spans="1:4" ht="12.75">
      <c r="A542" s="35" t="str">
        <f>HYPERLINK("https://www.youtube.com/watch?v=zuuObGsB0No","Love Will Tear Us Apart")</f>
        <v>Love Will Tear Us Apart</v>
      </c>
      <c r="B542" s="28">
        <v>141</v>
      </c>
      <c r="C542" s="27"/>
      <c r="D542" s="27">
        <v>1980</v>
      </c>
    </row>
    <row r="543" spans="1:4" ht="12.75">
      <c r="A543" s="19" t="str">
        <f>HYPERLINK("https://www.youtube.com/watch?v=81LpJPXo_qs","Atmosphere")</f>
        <v>Atmosphere</v>
      </c>
      <c r="B543" s="8">
        <v>119</v>
      </c>
      <c r="C543" s="7"/>
      <c r="D543" s="7">
        <v>1980</v>
      </c>
    </row>
    <row r="544" spans="1:4" ht="12.75">
      <c r="A544" s="35" t="str">
        <f>HYPERLINK("https://www.youtube.com/watch?v=CbeNRHtpgOk","New Dawn Fades")</f>
        <v>New Dawn Fades</v>
      </c>
      <c r="B544" s="28">
        <v>102</v>
      </c>
      <c r="C544" s="29" t="str">
        <f>HYPERLINK("https://en.m.wikipedia.org/wiki/Unknown_Pleasures","Unknown Pleasures")</f>
        <v>Unknown Pleasures</v>
      </c>
      <c r="D544" s="27">
        <v>1979</v>
      </c>
    </row>
    <row r="545" spans="1:4" ht="12.75">
      <c r="A545" s="19" t="str">
        <f>HYPERLINK("https://www.youtube.com/watch?v=FnWPGSQjFUc","Transmission")</f>
        <v>Transmission</v>
      </c>
      <c r="B545" s="8">
        <v>99</v>
      </c>
      <c r="C545" s="7"/>
      <c r="D545" s="7">
        <v>1979</v>
      </c>
    </row>
    <row r="546" spans="1:4" ht="12.75">
      <c r="A546" s="35" t="str">
        <f>HYPERLINK("https://www.youtube.com/watch?v=64x_RCArfjU","Day of the Lords")</f>
        <v>Day of the Lords</v>
      </c>
      <c r="B546" s="28">
        <v>90</v>
      </c>
      <c r="C546" s="29" t="str">
        <f t="shared" ref="C546:C548" si="32">HYPERLINK("https://en.m.wikipedia.org/wiki/Unknown_Pleasures","Unknown Pleasures")</f>
        <v>Unknown Pleasures</v>
      </c>
      <c r="D546" s="27">
        <v>1979</v>
      </c>
    </row>
    <row r="547" spans="1:4" ht="12.75">
      <c r="A547" s="19" t="str">
        <f>HYPERLINK("https://www.youtube.com/watch?v=juD4ayBbHdY","Shadowplay")</f>
        <v>Shadowplay</v>
      </c>
      <c r="B547" s="8">
        <v>89</v>
      </c>
      <c r="C547" s="9" t="str">
        <f t="shared" si="32"/>
        <v>Unknown Pleasures</v>
      </c>
      <c r="D547" s="7">
        <v>1979</v>
      </c>
    </row>
    <row r="548" spans="1:4" ht="12.75">
      <c r="A548" s="35" t="str">
        <f>HYPERLINK("https://www.youtube.com/watch?v=7PtvIr2oiaE","She's Lost Control")</f>
        <v>She's Lost Control</v>
      </c>
      <c r="B548" s="28">
        <v>75</v>
      </c>
      <c r="C548" s="29" t="str">
        <f t="shared" si="32"/>
        <v>Unknown Pleasures</v>
      </c>
      <c r="D548" s="27">
        <v>1979</v>
      </c>
    </row>
    <row r="549" spans="1:4" ht="12.75">
      <c r="A549" s="19" t="str">
        <f>HYPERLINK("https://www.youtube.com/watch?v=-bkcPS3GHQY","Isolation")</f>
        <v>Isolation</v>
      </c>
      <c r="B549" s="8">
        <v>72</v>
      </c>
      <c r="C549" s="9" t="str">
        <f t="shared" ref="C549:C550" si="33">HYPERLINK("https://en.wikipedia.org/wiki/Closer_(Joy_Division_album)","Closer")</f>
        <v>Closer</v>
      </c>
      <c r="D549" s="7">
        <v>1980</v>
      </c>
    </row>
    <row r="550" spans="1:4" ht="12.75">
      <c r="A550" s="35" t="str">
        <f>HYPERLINK("https://www.youtube.com/watch?v=5AqeqAQ1ILI","Atrocity Exhibition")</f>
        <v>Atrocity Exhibition</v>
      </c>
      <c r="B550" s="28">
        <v>59</v>
      </c>
      <c r="C550" s="29" t="str">
        <f t="shared" si="33"/>
        <v>Closer</v>
      </c>
      <c r="D550" s="27">
        <v>1980</v>
      </c>
    </row>
    <row r="551" spans="1:4" ht="12.75">
      <c r="A551" s="155"/>
      <c r="B551" s="156"/>
      <c r="C551" s="156"/>
      <c r="D551" s="156"/>
    </row>
    <row r="552" spans="1:4" ht="18">
      <c r="A552" s="13" t="s">
        <v>1943</v>
      </c>
      <c r="B552" s="14">
        <v>44999</v>
      </c>
      <c r="C552" s="15"/>
      <c r="D552" s="15"/>
    </row>
    <row r="553" spans="1:4" ht="12.75">
      <c r="A553" s="15" t="s">
        <v>2</v>
      </c>
      <c r="B553" s="15" t="s">
        <v>3</v>
      </c>
      <c r="C553" s="15" t="s">
        <v>4</v>
      </c>
      <c r="D553" s="15" t="s">
        <v>5</v>
      </c>
    </row>
    <row r="554" spans="1:4" ht="12.75">
      <c r="A554" s="16" t="s">
        <v>1944</v>
      </c>
      <c r="B554" s="16">
        <v>81</v>
      </c>
      <c r="C554" s="16" t="s">
        <v>1943</v>
      </c>
      <c r="D554" s="16">
        <v>2011</v>
      </c>
    </row>
    <row r="555" spans="1:4" ht="12.75">
      <c r="A555" s="17" t="s">
        <v>1945</v>
      </c>
      <c r="B555" s="17">
        <v>59</v>
      </c>
      <c r="C555" s="17" t="s">
        <v>1946</v>
      </c>
      <c r="D555" s="17">
        <v>2014</v>
      </c>
    </row>
    <row r="556" spans="1:4" ht="12.75">
      <c r="A556" s="16" t="s">
        <v>1947</v>
      </c>
      <c r="B556" s="16">
        <v>49</v>
      </c>
      <c r="C556" s="16" t="s">
        <v>1946</v>
      </c>
      <c r="D556" s="16">
        <v>2014</v>
      </c>
    </row>
    <row r="557" spans="1:4" ht="12.75">
      <c r="A557" s="17" t="s">
        <v>1948</v>
      </c>
      <c r="B557" s="17">
        <v>47</v>
      </c>
      <c r="C557" s="17" t="s">
        <v>1946</v>
      </c>
      <c r="D557" s="17">
        <v>2014</v>
      </c>
    </row>
    <row r="558" spans="1:4" ht="12.75">
      <c r="A558" s="16" t="s">
        <v>1949</v>
      </c>
      <c r="B558" s="16">
        <v>40</v>
      </c>
      <c r="C558" s="16" t="s">
        <v>1946</v>
      </c>
      <c r="D558" s="16">
        <v>2014</v>
      </c>
    </row>
    <row r="559" spans="1:4" ht="12.75">
      <c r="A559" s="17" t="s">
        <v>1950</v>
      </c>
      <c r="B559" s="17">
        <v>32</v>
      </c>
      <c r="C559" s="17" t="s">
        <v>1943</v>
      </c>
      <c r="D559" s="17">
        <v>2011</v>
      </c>
    </row>
    <row r="560" spans="1:4" ht="12.75">
      <c r="A560" s="16" t="s">
        <v>1951</v>
      </c>
      <c r="B560" s="16">
        <v>30</v>
      </c>
      <c r="C560" s="16" t="s">
        <v>1946</v>
      </c>
      <c r="D560" s="16">
        <v>2014</v>
      </c>
    </row>
    <row r="561" spans="1:4" ht="12.75">
      <c r="A561" s="17" t="s">
        <v>1952</v>
      </c>
      <c r="B561" s="17">
        <v>30</v>
      </c>
      <c r="C561" s="17" t="s">
        <v>1943</v>
      </c>
      <c r="D561" s="17">
        <v>2011</v>
      </c>
    </row>
    <row r="562" spans="1:4" ht="12.75">
      <c r="A562" s="16" t="s">
        <v>1953</v>
      </c>
      <c r="B562" s="16">
        <v>28</v>
      </c>
      <c r="C562" s="16" t="s">
        <v>1954</v>
      </c>
      <c r="D562" s="16">
        <v>2012</v>
      </c>
    </row>
    <row r="563" spans="1:4" ht="12.75">
      <c r="A563" s="17" t="s">
        <v>1955</v>
      </c>
      <c r="B563" s="17">
        <v>27</v>
      </c>
      <c r="C563" s="17" t="s">
        <v>1956</v>
      </c>
      <c r="D563" s="17">
        <v>2016</v>
      </c>
    </row>
    <row r="564" spans="1:4" ht="12.75">
      <c r="A564" s="152"/>
      <c r="B564" s="153"/>
      <c r="C564" s="153"/>
      <c r="D564" s="154"/>
    </row>
    <row r="565" spans="1:4" ht="18">
      <c r="A565" s="22" t="s">
        <v>1957</v>
      </c>
      <c r="B565" s="30">
        <v>44429</v>
      </c>
      <c r="C565" s="24"/>
      <c r="D565" s="32" t="s">
        <v>1</v>
      </c>
    </row>
    <row r="566" spans="1:4" ht="12.75">
      <c r="A566" s="33" t="s">
        <v>2</v>
      </c>
      <c r="B566" s="26" t="s">
        <v>3</v>
      </c>
      <c r="C566" s="26" t="s">
        <v>4</v>
      </c>
      <c r="D566" s="26" t="s">
        <v>5</v>
      </c>
    </row>
    <row r="567" spans="1:4" ht="12.75">
      <c r="A567" s="19" t="s">
        <v>1958</v>
      </c>
      <c r="B567" s="8">
        <v>167</v>
      </c>
      <c r="C567" s="9" t="s">
        <v>1959</v>
      </c>
      <c r="D567" s="7">
        <v>2017</v>
      </c>
    </row>
    <row r="568" spans="1:4" ht="12.75">
      <c r="A568" s="35" t="s">
        <v>1960</v>
      </c>
      <c r="B568" s="28">
        <v>147</v>
      </c>
      <c r="C568" s="29" t="s">
        <v>1961</v>
      </c>
      <c r="D568" s="27">
        <v>2019</v>
      </c>
    </row>
    <row r="569" spans="1:4" ht="12.75">
      <c r="A569" s="19" t="s">
        <v>1962</v>
      </c>
      <c r="B569" s="8">
        <v>121</v>
      </c>
      <c r="C569" s="7" t="s">
        <v>1963</v>
      </c>
      <c r="D569" s="7">
        <v>2020</v>
      </c>
    </row>
    <row r="570" spans="1:4" ht="12.75">
      <c r="A570" s="35" t="s">
        <v>1964</v>
      </c>
      <c r="B570" s="28">
        <v>119</v>
      </c>
      <c r="C570" s="29" t="s">
        <v>1959</v>
      </c>
      <c r="D570" s="27">
        <v>2018</v>
      </c>
    </row>
    <row r="571" spans="1:4" ht="12.75">
      <c r="A571" s="19" t="s">
        <v>1965</v>
      </c>
      <c r="B571" s="8">
        <v>100</v>
      </c>
      <c r="C571" s="9" t="s">
        <v>1961</v>
      </c>
      <c r="D571" s="7">
        <v>2019</v>
      </c>
    </row>
    <row r="572" spans="1:4" ht="12.75">
      <c r="A572" s="35" t="s">
        <v>1966</v>
      </c>
      <c r="B572" s="28">
        <v>82</v>
      </c>
      <c r="C572" s="29" t="s">
        <v>1959</v>
      </c>
      <c r="D572" s="27">
        <v>2018</v>
      </c>
    </row>
    <row r="573" spans="1:4" ht="12.75">
      <c r="A573" s="19" t="s">
        <v>1967</v>
      </c>
      <c r="B573" s="8">
        <v>67</v>
      </c>
      <c r="C573" s="9" t="s">
        <v>1959</v>
      </c>
      <c r="D573" s="7">
        <v>2018</v>
      </c>
    </row>
    <row r="574" spans="1:4" ht="12.75">
      <c r="A574" s="35" t="s">
        <v>1968</v>
      </c>
      <c r="B574" s="28">
        <v>65</v>
      </c>
      <c r="C574" s="29" t="s">
        <v>1959</v>
      </c>
      <c r="D574" s="27">
        <v>2018</v>
      </c>
    </row>
    <row r="575" spans="1:4" ht="12.75">
      <c r="A575" s="19" t="s">
        <v>1969</v>
      </c>
      <c r="B575" s="8">
        <v>47</v>
      </c>
      <c r="C575" s="7"/>
      <c r="D575" s="7">
        <v>2018</v>
      </c>
    </row>
    <row r="576" spans="1:4" ht="12.75">
      <c r="A576" s="35" t="s">
        <v>1970</v>
      </c>
      <c r="B576" s="28">
        <v>44</v>
      </c>
      <c r="C576" s="27" t="s">
        <v>1963</v>
      </c>
      <c r="D576" s="27">
        <v>2020</v>
      </c>
    </row>
    <row r="577" spans="1:4" ht="12.75">
      <c r="A577" s="152"/>
      <c r="B577" s="153"/>
      <c r="C577" s="153"/>
      <c r="D577" s="154"/>
    </row>
    <row r="578" spans="1:4" ht="18">
      <c r="A578" s="22" t="str">
        <f>HYPERLINK("https://www.reddit.com/r/indieheads/comments/auz5rw/top_ten_tuesday_julia_holter/","Julia Holter")</f>
        <v>Julia Holter</v>
      </c>
      <c r="B578" s="30">
        <v>43522</v>
      </c>
      <c r="C578" s="24"/>
      <c r="D578" s="32" t="s">
        <v>1</v>
      </c>
    </row>
    <row r="579" spans="1:4" ht="12.75">
      <c r="A579" s="26" t="s">
        <v>2</v>
      </c>
      <c r="B579" s="26" t="s">
        <v>3</v>
      </c>
      <c r="C579" s="26" t="s">
        <v>4</v>
      </c>
      <c r="D579" s="26" t="s">
        <v>5</v>
      </c>
    </row>
    <row r="580" spans="1:4" ht="12.75">
      <c r="A580" s="7" t="s">
        <v>1971</v>
      </c>
      <c r="B580" s="8">
        <v>152</v>
      </c>
      <c r="C580" s="9" t="str">
        <f>HYPERLINK("https://en.wikipedia.org/wiki/Have_You_in_My_Wilderness","Have You in My Wilderness")</f>
        <v>Have You in My Wilderness</v>
      </c>
      <c r="D580" s="7">
        <v>2015</v>
      </c>
    </row>
    <row r="581" spans="1:4" ht="12.75">
      <c r="A581" s="27" t="s">
        <v>1972</v>
      </c>
      <c r="B581" s="28">
        <v>149</v>
      </c>
      <c r="C581" s="29" t="str">
        <f>HYPERLINK("https://en.wikipedia.org/wiki/Aviary_(album)","Aviary")</f>
        <v>Aviary</v>
      </c>
      <c r="D581" s="27">
        <v>2018</v>
      </c>
    </row>
    <row r="582" spans="1:4" ht="12.75">
      <c r="A582" s="7" t="s">
        <v>1973</v>
      </c>
      <c r="B582" s="8">
        <v>147</v>
      </c>
      <c r="C582" s="9" t="str">
        <f>HYPERLINK("https://en.wikipedia.org/wiki/Have_You_in_My_Wilderness","Have You in My Wilderness")</f>
        <v>Have You in My Wilderness</v>
      </c>
      <c r="D582" s="7">
        <v>2015</v>
      </c>
    </row>
    <row r="583" spans="1:4" ht="12.75">
      <c r="A583" s="27" t="s">
        <v>1974</v>
      </c>
      <c r="B583" s="28">
        <v>130</v>
      </c>
      <c r="C583" s="29" t="str">
        <f>HYPERLINK("https://en.wikipedia.org/wiki/Aviary_(album)","Aviary")</f>
        <v>Aviary</v>
      </c>
      <c r="D583" s="27">
        <v>2018</v>
      </c>
    </row>
    <row r="584" spans="1:4" ht="12.75">
      <c r="A584" s="7" t="s">
        <v>1975</v>
      </c>
      <c r="B584" s="8">
        <v>117</v>
      </c>
      <c r="C584" s="9" t="str">
        <f t="shared" ref="C584:C586" si="34">HYPERLINK("https://en.wikipedia.org/wiki/Have_You_in_My_Wilderness","Have You in My Wilderness")</f>
        <v>Have You in My Wilderness</v>
      </c>
      <c r="D584" s="7">
        <v>2015</v>
      </c>
    </row>
    <row r="585" spans="1:4" ht="12.75">
      <c r="A585" s="27" t="s">
        <v>1976</v>
      </c>
      <c r="B585" s="28">
        <v>108</v>
      </c>
      <c r="C585" s="29" t="str">
        <f t="shared" si="34"/>
        <v>Have You in My Wilderness</v>
      </c>
      <c r="D585" s="27">
        <v>2015</v>
      </c>
    </row>
    <row r="586" spans="1:4" ht="12.75">
      <c r="A586" s="7" t="s">
        <v>1977</v>
      </c>
      <c r="B586" s="8">
        <v>94</v>
      </c>
      <c r="C586" s="9" t="str">
        <f t="shared" si="34"/>
        <v>Have You in My Wilderness</v>
      </c>
      <c r="D586" s="7">
        <v>2015</v>
      </c>
    </row>
    <row r="587" spans="1:4" ht="12.75">
      <c r="A587" s="27" t="s">
        <v>1978</v>
      </c>
      <c r="B587" s="28">
        <v>91</v>
      </c>
      <c r="C587" s="29" t="str">
        <f>HYPERLINK("https://en.wikipedia.org/wiki/Loud_City_Song","Loud City Song")</f>
        <v>Loud City Song</v>
      </c>
      <c r="D587" s="27">
        <v>2013</v>
      </c>
    </row>
    <row r="588" spans="1:4" ht="12.75">
      <c r="A588" s="7" t="s">
        <v>1979</v>
      </c>
      <c r="B588" s="8">
        <v>89</v>
      </c>
      <c r="C588" s="9" t="str">
        <f>HYPERLINK("https://en.wikipedia.org/wiki/Have_You_in_My_Wilderness","Have You in My Wilderness")</f>
        <v>Have You in My Wilderness</v>
      </c>
      <c r="D588" s="7">
        <v>2015</v>
      </c>
    </row>
    <row r="589" spans="1:4" ht="12.75">
      <c r="A589" s="27" t="s">
        <v>1980</v>
      </c>
      <c r="B589" s="28">
        <v>86</v>
      </c>
      <c r="C589" s="29" t="str">
        <f>HYPERLINK("https://en.wikipedia.org/wiki/Ekstasis_(Julia_Holter_album)","Ekstasis")</f>
        <v>Ekstasis</v>
      </c>
      <c r="D589" s="27">
        <v>2012</v>
      </c>
    </row>
    <row r="590" spans="1:4" ht="12.75">
      <c r="A590" s="152"/>
      <c r="B590" s="153"/>
      <c r="C590" s="153"/>
      <c r="D590" s="154"/>
    </row>
    <row r="591" spans="1:4" ht="18">
      <c r="A591" s="53" t="s">
        <v>1981</v>
      </c>
      <c r="B591" s="87">
        <v>44831</v>
      </c>
      <c r="C591" s="55"/>
      <c r="D591" s="55"/>
    </row>
    <row r="592" spans="1:4" ht="12.75">
      <c r="A592" s="56" t="s">
        <v>2</v>
      </c>
      <c r="B592" s="56" t="s">
        <v>3</v>
      </c>
      <c r="C592" s="56" t="s">
        <v>4</v>
      </c>
      <c r="D592" s="56" t="s">
        <v>5</v>
      </c>
    </row>
    <row r="593" spans="1:4" ht="12.75">
      <c r="A593" s="16" t="s">
        <v>1982</v>
      </c>
      <c r="B593" s="16">
        <v>99</v>
      </c>
      <c r="C593" s="16" t="s">
        <v>1983</v>
      </c>
      <c r="D593" s="16">
        <v>2015</v>
      </c>
    </row>
    <row r="594" spans="1:4" ht="12.75">
      <c r="A594" s="58" t="s">
        <v>306</v>
      </c>
      <c r="B594" s="58">
        <v>89</v>
      </c>
      <c r="C594" s="58" t="s">
        <v>1983</v>
      </c>
      <c r="D594" s="58">
        <v>2015</v>
      </c>
    </row>
    <row r="595" spans="1:4" ht="12.75">
      <c r="A595" s="16" t="s">
        <v>93</v>
      </c>
      <c r="B595" s="16">
        <v>80</v>
      </c>
      <c r="C595" s="16" t="s">
        <v>1983</v>
      </c>
      <c r="D595" s="16">
        <v>2015</v>
      </c>
    </row>
    <row r="596" spans="1:4" ht="12.75">
      <c r="A596" s="58" t="s">
        <v>1984</v>
      </c>
      <c r="B596" s="58">
        <v>64</v>
      </c>
      <c r="C596" s="58" t="s">
        <v>1985</v>
      </c>
      <c r="D596" s="58">
        <v>2017</v>
      </c>
    </row>
    <row r="597" spans="1:4" ht="12.75">
      <c r="A597" s="16" t="s">
        <v>1986</v>
      </c>
      <c r="B597" s="16">
        <v>60</v>
      </c>
      <c r="C597" s="16" t="s">
        <v>1985</v>
      </c>
      <c r="D597" s="16">
        <v>2017</v>
      </c>
    </row>
    <row r="598" spans="1:4" ht="12.75">
      <c r="A598" s="58" t="s">
        <v>1987</v>
      </c>
      <c r="B598" s="58">
        <v>55</v>
      </c>
      <c r="C598" s="58" t="s">
        <v>1983</v>
      </c>
      <c r="D598" s="58">
        <v>2015</v>
      </c>
    </row>
    <row r="599" spans="1:4" ht="12.75">
      <c r="A599" s="16" t="s">
        <v>1988</v>
      </c>
      <c r="B599" s="16">
        <v>52</v>
      </c>
      <c r="C599" s="16" t="s">
        <v>1989</v>
      </c>
      <c r="D599" s="16">
        <v>2021</v>
      </c>
    </row>
    <row r="600" spans="1:4" ht="12.75">
      <c r="A600" s="58" t="s">
        <v>1990</v>
      </c>
      <c r="B600" s="58">
        <v>51</v>
      </c>
      <c r="C600" s="58" t="s">
        <v>1983</v>
      </c>
      <c r="D600" s="58">
        <v>2015</v>
      </c>
    </row>
    <row r="601" spans="1:4" ht="12.75">
      <c r="A601" s="16" t="s">
        <v>1991</v>
      </c>
      <c r="B601" s="16">
        <v>49</v>
      </c>
      <c r="C601" s="16" t="s">
        <v>1989</v>
      </c>
      <c r="D601" s="16">
        <v>2021</v>
      </c>
    </row>
    <row r="602" spans="1:4" ht="12.75">
      <c r="A602" s="58" t="s">
        <v>1985</v>
      </c>
      <c r="B602" s="58">
        <v>49</v>
      </c>
      <c r="C602" s="58" t="s">
        <v>1985</v>
      </c>
      <c r="D602" s="58">
        <v>2017</v>
      </c>
    </row>
    <row r="603" spans="1:4" ht="12.75">
      <c r="A603" s="152"/>
      <c r="B603" s="153"/>
      <c r="C603" s="153"/>
      <c r="D603" s="154"/>
    </row>
    <row r="604" spans="1:4" ht="18">
      <c r="A604" s="22" t="str">
        <f>HYPERLINK("https://www.reddit.com/r/indieheads/comments/64q9zz/top_ten_tuesday_kate_bush/","Kate Bush")</f>
        <v>Kate Bush</v>
      </c>
      <c r="B604" s="30">
        <v>42836</v>
      </c>
      <c r="C604" s="24"/>
      <c r="D604" s="24"/>
    </row>
    <row r="605" spans="1:4" ht="12.75">
      <c r="A605" s="26" t="s">
        <v>2</v>
      </c>
      <c r="B605" s="26" t="s">
        <v>3</v>
      </c>
      <c r="C605" s="26" t="s">
        <v>4</v>
      </c>
      <c r="D605" s="26" t="s">
        <v>5</v>
      </c>
    </row>
    <row r="606" spans="1:4" ht="12.75">
      <c r="A606" s="7" t="s">
        <v>1992</v>
      </c>
      <c r="B606" s="8">
        <v>152</v>
      </c>
      <c r="C606" s="9" t="str">
        <f t="shared" ref="C606:C607" si="35">HYPERLINK("https://en.wikipedia.org/wiki/Hounds_of_Love","Hounds of Love")</f>
        <v>Hounds of Love</v>
      </c>
      <c r="D606" s="7">
        <v>1985</v>
      </c>
    </row>
    <row r="607" spans="1:4" ht="12.75">
      <c r="A607" s="27" t="s">
        <v>1993</v>
      </c>
      <c r="B607" s="28">
        <v>148</v>
      </c>
      <c r="C607" s="29" t="str">
        <f t="shared" si="35"/>
        <v>Hounds of Love</v>
      </c>
      <c r="D607" s="27">
        <v>1985</v>
      </c>
    </row>
    <row r="608" spans="1:4" ht="12.75">
      <c r="A608" s="7" t="s">
        <v>1994</v>
      </c>
      <c r="B608" s="8">
        <v>128</v>
      </c>
      <c r="C608" s="9" t="str">
        <f>HYPERLINK("https://en.wikipedia.org/wiki/The_Kick_Inside","The Kick Inside")</f>
        <v>The Kick Inside</v>
      </c>
      <c r="D608" s="7">
        <v>1978</v>
      </c>
    </row>
    <row r="609" spans="1:4" ht="12.75">
      <c r="A609" s="27" t="s">
        <v>1995</v>
      </c>
      <c r="B609" s="28">
        <v>104</v>
      </c>
      <c r="C609" s="29" t="str">
        <f>HYPERLINK("https://en.wikipedia.org/wiki/Hounds_of_Love","Hounds of Love")</f>
        <v>Hounds of Love</v>
      </c>
      <c r="D609" s="27">
        <v>1985</v>
      </c>
    </row>
    <row r="610" spans="1:4" ht="12.75">
      <c r="A610" s="7" t="s">
        <v>1996</v>
      </c>
      <c r="B610" s="8">
        <v>88</v>
      </c>
      <c r="C610" s="9" t="str">
        <f t="shared" ref="C610:C611" si="36">HYPERLINK("https://en.wikipedia.org/wiki/The_Dreaming_(album)","The Dreaming")</f>
        <v>The Dreaming</v>
      </c>
      <c r="D610" s="7">
        <v>1981</v>
      </c>
    </row>
    <row r="611" spans="1:4" ht="12.75">
      <c r="A611" s="27" t="s">
        <v>1997</v>
      </c>
      <c r="B611" s="28">
        <v>75</v>
      </c>
      <c r="C611" s="29" t="str">
        <f t="shared" si="36"/>
        <v>The Dreaming</v>
      </c>
      <c r="D611" s="27">
        <v>1982</v>
      </c>
    </row>
    <row r="612" spans="1:4" ht="12.75">
      <c r="A612" s="7" t="s">
        <v>1998</v>
      </c>
      <c r="B612" s="8">
        <v>56</v>
      </c>
      <c r="C612" s="9" t="str">
        <f t="shared" ref="C612:C613" si="37">HYPERLINK("https://en.wikipedia.org/wiki/Hounds_of_Love","Hounds of Love")</f>
        <v>Hounds of Love</v>
      </c>
      <c r="D612" s="7">
        <v>1985</v>
      </c>
    </row>
    <row r="613" spans="1:4" ht="12.75">
      <c r="A613" s="27" t="s">
        <v>1999</v>
      </c>
      <c r="B613" s="28">
        <v>50</v>
      </c>
      <c r="C613" s="29" t="str">
        <f t="shared" si="37"/>
        <v>Hounds of Love</v>
      </c>
      <c r="D613" s="27">
        <v>1985</v>
      </c>
    </row>
    <row r="614" spans="1:4" ht="12.75">
      <c r="A614" s="7" t="s">
        <v>2000</v>
      </c>
      <c r="B614" s="8">
        <v>35</v>
      </c>
      <c r="C614" s="9" t="str">
        <f>HYPERLINK("https://en.wikipedia.org/wiki/Never_for_Ever","Never for Ever")</f>
        <v>Never for Ever</v>
      </c>
      <c r="D614" s="7">
        <v>1980</v>
      </c>
    </row>
    <row r="615" spans="1:4" ht="12.75">
      <c r="A615" s="27" t="s">
        <v>2001</v>
      </c>
      <c r="B615" s="28">
        <v>31</v>
      </c>
      <c r="C615" s="29" t="str">
        <f>HYPERLINK("https://en.wikipedia.org/wiki/The_Dreaming_(album)","The Dreaming")</f>
        <v>The Dreaming</v>
      </c>
      <c r="D615" s="27">
        <v>1982</v>
      </c>
    </row>
    <row r="616" spans="1:4" ht="12.75">
      <c r="A616" s="152"/>
      <c r="B616" s="153"/>
      <c r="C616" s="153"/>
      <c r="D616" s="154"/>
    </row>
    <row r="617" spans="1:4" ht="18">
      <c r="A617" s="22" t="s">
        <v>2002</v>
      </c>
      <c r="B617" s="43">
        <v>44516</v>
      </c>
      <c r="C617" s="24"/>
      <c r="D617" s="32" t="s">
        <v>1</v>
      </c>
    </row>
    <row r="618" spans="1:4" ht="12.75">
      <c r="A618" s="26" t="s">
        <v>2</v>
      </c>
      <c r="B618" s="26" t="s">
        <v>3</v>
      </c>
      <c r="C618" s="26" t="s">
        <v>4</v>
      </c>
      <c r="D618" s="26" t="s">
        <v>5</v>
      </c>
    </row>
    <row r="619" spans="1:4" ht="12.75">
      <c r="A619" s="7" t="s">
        <v>2003</v>
      </c>
      <c r="B619" s="8">
        <v>545</v>
      </c>
      <c r="C619" s="9" t="s">
        <v>2004</v>
      </c>
      <c r="D619" s="7">
        <v>2018</v>
      </c>
    </row>
    <row r="620" spans="1:4" ht="12.75">
      <c r="A620" s="27" t="s">
        <v>2005</v>
      </c>
      <c r="B620" s="28">
        <v>464</v>
      </c>
      <c r="C620" s="29" t="s">
        <v>2006</v>
      </c>
      <c r="D620" s="27">
        <v>2021</v>
      </c>
    </row>
    <row r="621" spans="1:4" ht="12.75">
      <c r="A621" s="7" t="s">
        <v>2007</v>
      </c>
      <c r="B621" s="8">
        <v>383</v>
      </c>
      <c r="C621" s="9" t="s">
        <v>2004</v>
      </c>
      <c r="D621" s="7">
        <v>2018</v>
      </c>
    </row>
    <row r="622" spans="1:4" ht="12.75">
      <c r="A622" s="27" t="s">
        <v>2008</v>
      </c>
      <c r="B622" s="28">
        <v>374</v>
      </c>
      <c r="C622" s="29" t="s">
        <v>2009</v>
      </c>
      <c r="D622" s="27">
        <v>2016</v>
      </c>
    </row>
    <row r="623" spans="1:4" ht="12.75">
      <c r="A623" s="7" t="s">
        <v>2010</v>
      </c>
      <c r="B623" s="8">
        <v>370</v>
      </c>
      <c r="C623" s="9" t="s">
        <v>2004</v>
      </c>
      <c r="D623" s="7">
        <v>2018</v>
      </c>
    </row>
    <row r="624" spans="1:4" ht="12.75">
      <c r="A624" s="27" t="s">
        <v>2011</v>
      </c>
      <c r="B624" s="28">
        <v>325</v>
      </c>
      <c r="C624" s="29" t="s">
        <v>2006</v>
      </c>
      <c r="D624" s="27">
        <v>2021</v>
      </c>
    </row>
    <row r="625" spans="1:4" ht="12.75">
      <c r="A625" s="7" t="s">
        <v>2012</v>
      </c>
      <c r="B625" s="8">
        <v>315</v>
      </c>
      <c r="C625" s="9" t="s">
        <v>2004</v>
      </c>
      <c r="D625" s="7">
        <v>2018</v>
      </c>
    </row>
    <row r="626" spans="1:4" ht="12.75">
      <c r="A626" s="27" t="s">
        <v>2013</v>
      </c>
      <c r="B626" s="28">
        <v>235</v>
      </c>
      <c r="C626" s="29" t="s">
        <v>2009</v>
      </c>
      <c r="D626" s="27">
        <v>2016</v>
      </c>
    </row>
    <row r="627" spans="1:4" ht="12.75">
      <c r="A627" s="7" t="s">
        <v>2014</v>
      </c>
      <c r="B627" s="8">
        <v>206</v>
      </c>
      <c r="C627" s="9" t="s">
        <v>2009</v>
      </c>
      <c r="D627" s="7">
        <v>2016</v>
      </c>
    </row>
    <row r="628" spans="1:4" ht="12.75">
      <c r="A628" s="27" t="s">
        <v>2015</v>
      </c>
      <c r="B628" s="28">
        <v>189</v>
      </c>
      <c r="C628" s="29" t="s">
        <v>2004</v>
      </c>
      <c r="D628" s="27">
        <v>2018</v>
      </c>
    </row>
    <row r="629" spans="1:4" ht="12.75">
      <c r="A629" s="152"/>
      <c r="B629" s="153"/>
      <c r="C629" s="153"/>
      <c r="D629" s="154"/>
    </row>
    <row r="630" spans="1:4" ht="18">
      <c r="A630" s="22" t="s">
        <v>2016</v>
      </c>
      <c r="B630" s="30">
        <v>44341</v>
      </c>
      <c r="C630" s="24"/>
      <c r="D630" s="32" t="s">
        <v>1</v>
      </c>
    </row>
    <row r="631" spans="1:4" ht="12.75">
      <c r="A631" s="26" t="s">
        <v>2</v>
      </c>
      <c r="B631" s="26" t="s">
        <v>3</v>
      </c>
      <c r="C631" s="26" t="s">
        <v>4</v>
      </c>
      <c r="D631" s="26" t="s">
        <v>5</v>
      </c>
    </row>
    <row r="632" spans="1:4" ht="12.75">
      <c r="A632" s="7" t="s">
        <v>2017</v>
      </c>
      <c r="B632" s="8">
        <v>78</v>
      </c>
      <c r="C632" s="9" t="s">
        <v>2017</v>
      </c>
      <c r="D632" s="7">
        <v>2017</v>
      </c>
    </row>
    <row r="633" spans="1:4" ht="12.75">
      <c r="A633" s="27" t="s">
        <v>2018</v>
      </c>
      <c r="B633" s="28">
        <v>60</v>
      </c>
      <c r="C633" s="29" t="s">
        <v>2019</v>
      </c>
      <c r="D633" s="27">
        <v>2016</v>
      </c>
    </row>
    <row r="634" spans="1:4" ht="12.75">
      <c r="A634" s="7" t="s">
        <v>144</v>
      </c>
      <c r="B634" s="8">
        <v>49</v>
      </c>
      <c r="C634" s="9" t="s">
        <v>2020</v>
      </c>
      <c r="D634" s="7">
        <v>2014</v>
      </c>
    </row>
    <row r="635" spans="1:4" ht="12.75">
      <c r="A635" s="27" t="s">
        <v>2021</v>
      </c>
      <c r="B635" s="28">
        <v>45</v>
      </c>
      <c r="C635" s="29" t="s">
        <v>2021</v>
      </c>
      <c r="D635" s="27">
        <v>2013</v>
      </c>
    </row>
    <row r="636" spans="1:4" ht="12.75">
      <c r="A636" s="7" t="s">
        <v>2022</v>
      </c>
      <c r="B636" s="8">
        <v>39</v>
      </c>
      <c r="C636" s="9" t="s">
        <v>2019</v>
      </c>
      <c r="D636" s="7">
        <v>2016</v>
      </c>
    </row>
    <row r="637" spans="1:4" ht="12.75">
      <c r="A637" s="27" t="s">
        <v>2023</v>
      </c>
      <c r="B637" s="28">
        <v>39</v>
      </c>
      <c r="C637" s="27"/>
      <c r="D637" s="27">
        <v>2016</v>
      </c>
    </row>
    <row r="638" spans="1:4" ht="12.75">
      <c r="A638" s="7" t="s">
        <v>2024</v>
      </c>
      <c r="B638" s="8">
        <v>36</v>
      </c>
      <c r="C638" s="9" t="s">
        <v>2017</v>
      </c>
      <c r="D638" s="7">
        <v>2017</v>
      </c>
    </row>
    <row r="639" spans="1:4" ht="12.75">
      <c r="A639" s="27" t="s">
        <v>2025</v>
      </c>
      <c r="B639" s="28">
        <v>29</v>
      </c>
      <c r="C639" s="29" t="s">
        <v>2026</v>
      </c>
      <c r="D639" s="27">
        <v>2019</v>
      </c>
    </row>
    <row r="640" spans="1:4" ht="12.75">
      <c r="A640" s="7" t="s">
        <v>2027</v>
      </c>
      <c r="B640" s="8">
        <v>28</v>
      </c>
      <c r="C640" s="9" t="s">
        <v>2019</v>
      </c>
      <c r="D640" s="7">
        <v>2016</v>
      </c>
    </row>
    <row r="641" spans="1:4" ht="12.75">
      <c r="A641" s="27" t="s">
        <v>2028</v>
      </c>
      <c r="B641" s="28">
        <v>26</v>
      </c>
      <c r="C641" s="29" t="s">
        <v>2029</v>
      </c>
      <c r="D641" s="27">
        <v>2020</v>
      </c>
    </row>
    <row r="642" spans="1:4" ht="12.75">
      <c r="A642" s="152"/>
      <c r="B642" s="153"/>
      <c r="C642" s="153"/>
      <c r="D642" s="154"/>
    </row>
    <row r="643" spans="1:4" ht="18">
      <c r="A643" s="22" t="str">
        <f>HYPERLINK("https://www.reddit.com/r/indieheads/comments/4uox7k/top_ten_tuesday_the_killers/","The Killers")</f>
        <v>The Killers</v>
      </c>
      <c r="B643" s="23">
        <v>42583</v>
      </c>
      <c r="C643" s="24"/>
      <c r="D643" s="24"/>
    </row>
    <row r="644" spans="1:4" ht="12.75">
      <c r="A644" s="26" t="s">
        <v>2</v>
      </c>
      <c r="B644" s="26" t="s">
        <v>3</v>
      </c>
      <c r="C644" s="26" t="s">
        <v>4</v>
      </c>
      <c r="D644" s="26" t="s">
        <v>5</v>
      </c>
    </row>
    <row r="645" spans="1:4" ht="12.75">
      <c r="A645" s="7" t="s">
        <v>2030</v>
      </c>
      <c r="B645" s="8">
        <v>440</v>
      </c>
      <c r="C645" s="9" t="str">
        <f t="shared" ref="C645:C646" si="38">HYPERLINK("https://en.wikipedia.org/wiki/Hot_Fuss","Hot Fuss")</f>
        <v>Hot Fuss</v>
      </c>
      <c r="D645" s="7">
        <v>2003</v>
      </c>
    </row>
    <row r="646" spans="1:4" ht="12.75">
      <c r="A646" s="27" t="s">
        <v>2031</v>
      </c>
      <c r="B646" s="28">
        <v>391</v>
      </c>
      <c r="C646" s="29" t="str">
        <f t="shared" si="38"/>
        <v>Hot Fuss</v>
      </c>
      <c r="D646" s="27">
        <v>2004</v>
      </c>
    </row>
    <row r="647" spans="1:4" ht="12.75">
      <c r="A647" s="7" t="s">
        <v>2032</v>
      </c>
      <c r="B647" s="8">
        <v>368</v>
      </c>
      <c r="C647" s="9" t="str">
        <f>HYPERLINK("https://en.wikipedia.org/wiki/Sam%27s_Town","Sam's Town")</f>
        <v>Sam's Town</v>
      </c>
      <c r="D647" s="7">
        <v>2006</v>
      </c>
    </row>
    <row r="648" spans="1:4" ht="12.75">
      <c r="A648" s="27" t="s">
        <v>2033</v>
      </c>
      <c r="B648" s="28">
        <v>321</v>
      </c>
      <c r="C648" s="29" t="str">
        <f>HYPERLINK("https://en.wikipedia.org/wiki/Hot_Fuss","Hot Fuss")</f>
        <v>Hot Fuss</v>
      </c>
      <c r="D648" s="27">
        <v>2004</v>
      </c>
    </row>
    <row r="649" spans="1:4" ht="12.75">
      <c r="A649" s="7" t="s">
        <v>2034</v>
      </c>
      <c r="B649" s="8">
        <v>312</v>
      </c>
      <c r="C649" s="9" t="str">
        <f>HYPERLINK("https://en.wikipedia.org/wiki/Sam%27s_Town","Sam's Town")</f>
        <v>Sam's Town</v>
      </c>
      <c r="D649" s="7">
        <v>2006</v>
      </c>
    </row>
    <row r="650" spans="1:4" ht="12.75">
      <c r="A650" s="27" t="s">
        <v>2035</v>
      </c>
      <c r="B650" s="28">
        <v>271</v>
      </c>
      <c r="C650" s="29" t="str">
        <f t="shared" ref="C650:C651" si="39">HYPERLINK("https://en.wikipedia.org/wiki/Hot_Fuss","Hot Fuss")</f>
        <v>Hot Fuss</v>
      </c>
      <c r="D650" s="27">
        <v>2004</v>
      </c>
    </row>
    <row r="651" spans="1:4" ht="12.75">
      <c r="A651" s="7" t="s">
        <v>2036</v>
      </c>
      <c r="B651" s="8">
        <v>201</v>
      </c>
      <c r="C651" s="9" t="str">
        <f t="shared" si="39"/>
        <v>Hot Fuss</v>
      </c>
      <c r="D651" s="7">
        <v>2004</v>
      </c>
    </row>
    <row r="652" spans="1:4" ht="12.75">
      <c r="A652" s="27" t="s">
        <v>2037</v>
      </c>
      <c r="B652" s="28">
        <v>161</v>
      </c>
      <c r="C652" s="29" t="str">
        <f t="shared" ref="C652:C653" si="40">HYPERLINK("https://en.wikipedia.org/wiki/Day_%26_Age","Day &amp; Age")</f>
        <v>Day &amp; Age</v>
      </c>
      <c r="D652" s="27">
        <v>2008</v>
      </c>
    </row>
    <row r="653" spans="1:4" ht="12.75">
      <c r="A653" s="7" t="s">
        <v>1110</v>
      </c>
      <c r="B653" s="8">
        <v>128</v>
      </c>
      <c r="C653" s="9" t="str">
        <f t="shared" si="40"/>
        <v>Day &amp; Age</v>
      </c>
      <c r="D653" s="7">
        <v>2008</v>
      </c>
    </row>
    <row r="654" spans="1:4" ht="12.75">
      <c r="A654" s="27" t="s">
        <v>2038</v>
      </c>
      <c r="B654" s="28">
        <v>120</v>
      </c>
      <c r="C654" s="29" t="str">
        <f>HYPERLINK("https://en.wikipedia.org/wiki/Sam%27s_Town","Sam's Town")</f>
        <v>Sam's Town</v>
      </c>
      <c r="D654" s="27">
        <v>2006</v>
      </c>
    </row>
    <row r="655" spans="1:4" ht="12.75">
      <c r="A655" s="152"/>
      <c r="B655" s="153"/>
      <c r="C655" s="153"/>
      <c r="D655" s="154"/>
    </row>
    <row r="656" spans="1:4" ht="18">
      <c r="A656" s="41" t="s">
        <v>2039</v>
      </c>
      <c r="B656" s="43">
        <v>44973</v>
      </c>
      <c r="C656" s="24"/>
      <c r="D656" s="32"/>
    </row>
    <row r="657" spans="1:4" ht="12.75">
      <c r="A657" s="26" t="s">
        <v>2</v>
      </c>
      <c r="B657" s="26" t="s">
        <v>3</v>
      </c>
      <c r="C657" s="26" t="s">
        <v>4</v>
      </c>
      <c r="D657" s="26" t="s">
        <v>5</v>
      </c>
    </row>
    <row r="658" spans="1:4" ht="12.75">
      <c r="A658" s="7" t="s">
        <v>2040</v>
      </c>
      <c r="B658" s="8">
        <v>304</v>
      </c>
      <c r="C658" s="19" t="s">
        <v>2041</v>
      </c>
      <c r="D658" s="7">
        <v>2017</v>
      </c>
    </row>
    <row r="659" spans="1:4" ht="12.75">
      <c r="A659" s="10" t="s">
        <v>2042</v>
      </c>
      <c r="B659" s="11">
        <v>256</v>
      </c>
      <c r="C659" s="20" t="s">
        <v>2043</v>
      </c>
      <c r="D659" s="10">
        <v>2022</v>
      </c>
    </row>
    <row r="660" spans="1:4" ht="12.75">
      <c r="A660" s="7" t="s">
        <v>2044</v>
      </c>
      <c r="B660" s="8">
        <v>182</v>
      </c>
      <c r="C660" s="19" t="s">
        <v>2045</v>
      </c>
      <c r="D660" s="7">
        <v>2022</v>
      </c>
    </row>
    <row r="661" spans="1:4" ht="12.75">
      <c r="A661" s="27" t="s">
        <v>2046</v>
      </c>
      <c r="B661" s="28">
        <v>174</v>
      </c>
      <c r="C661" s="35" t="s">
        <v>2047</v>
      </c>
      <c r="D661" s="27">
        <v>2016</v>
      </c>
    </row>
    <row r="662" spans="1:4" ht="12.75">
      <c r="A662" s="7" t="s">
        <v>3989</v>
      </c>
      <c r="B662" s="8">
        <v>173</v>
      </c>
      <c r="C662" s="19" t="s">
        <v>2048</v>
      </c>
      <c r="D662" s="7">
        <v>2013</v>
      </c>
    </row>
    <row r="663" spans="1:4" ht="12.75">
      <c r="A663" s="10" t="s">
        <v>604</v>
      </c>
      <c r="B663" s="11">
        <v>166</v>
      </c>
      <c r="C663" s="20" t="s">
        <v>2049</v>
      </c>
      <c r="D663" s="10">
        <v>2015</v>
      </c>
    </row>
    <row r="664" spans="1:4" ht="12.75">
      <c r="A664" s="7" t="s">
        <v>2050</v>
      </c>
      <c r="B664" s="8">
        <v>166</v>
      </c>
      <c r="C664" s="19" t="s">
        <v>2047</v>
      </c>
      <c r="D664" s="7">
        <v>2016</v>
      </c>
    </row>
    <row r="665" spans="1:4" ht="12.75">
      <c r="A665" s="27" t="s">
        <v>2051</v>
      </c>
      <c r="B665" s="28">
        <v>162</v>
      </c>
      <c r="C665" s="35" t="s">
        <v>2052</v>
      </c>
      <c r="D665" s="27">
        <v>2019</v>
      </c>
    </row>
    <row r="666" spans="1:4" ht="12.75">
      <c r="A666" s="7" t="s">
        <v>2053</v>
      </c>
      <c r="B666" s="8">
        <v>148</v>
      </c>
      <c r="C666" s="19" t="s">
        <v>2054</v>
      </c>
      <c r="D666" s="7">
        <v>2014</v>
      </c>
    </row>
    <row r="667" spans="1:4" ht="12.75">
      <c r="A667" s="10" t="s">
        <v>2055</v>
      </c>
      <c r="B667" s="11">
        <v>97</v>
      </c>
      <c r="C667" s="20" t="s">
        <v>2056</v>
      </c>
      <c r="D667" s="10">
        <v>2017</v>
      </c>
    </row>
    <row r="668" spans="1:4" ht="12.75">
      <c r="A668" s="152"/>
      <c r="B668" s="153"/>
      <c r="C668" s="153"/>
      <c r="D668" s="154"/>
    </row>
    <row r="669" spans="1:4" ht="18">
      <c r="A669" s="2" t="s">
        <v>2057</v>
      </c>
      <c r="B669" s="3">
        <v>44033</v>
      </c>
      <c r="C669" s="44"/>
      <c r="D669" s="5" t="s">
        <v>1</v>
      </c>
    </row>
    <row r="670" spans="1:4" ht="12.75">
      <c r="A670" s="6" t="s">
        <v>2</v>
      </c>
      <c r="B670" s="6" t="s">
        <v>3</v>
      </c>
      <c r="C670" s="45" t="s">
        <v>4</v>
      </c>
      <c r="D670" s="6" t="s">
        <v>5</v>
      </c>
    </row>
    <row r="671" spans="1:4" ht="12.75">
      <c r="A671" s="7" t="s">
        <v>2058</v>
      </c>
      <c r="B671" s="8">
        <v>348</v>
      </c>
      <c r="C671" s="9" t="s">
        <v>2059</v>
      </c>
      <c r="D671" s="7">
        <v>2017</v>
      </c>
    </row>
    <row r="672" spans="1:4" ht="12.75">
      <c r="A672" s="10" t="s">
        <v>2060</v>
      </c>
      <c r="B672" s="11">
        <v>347</v>
      </c>
      <c r="C672" s="12" t="s">
        <v>2061</v>
      </c>
      <c r="D672" s="10">
        <v>2013</v>
      </c>
    </row>
    <row r="673" spans="1:4" ht="12.75">
      <c r="A673" s="7" t="s">
        <v>2062</v>
      </c>
      <c r="B673" s="8">
        <v>207</v>
      </c>
      <c r="C673" s="9" t="s">
        <v>2059</v>
      </c>
      <c r="D673" s="7">
        <v>2017</v>
      </c>
    </row>
    <row r="674" spans="1:4" ht="12.75">
      <c r="A674" s="10" t="s">
        <v>2063</v>
      </c>
      <c r="B674" s="11">
        <v>207</v>
      </c>
      <c r="C674" s="12" t="s">
        <v>2059</v>
      </c>
      <c r="D674" s="10">
        <v>2017</v>
      </c>
    </row>
    <row r="675" spans="1:4" ht="12.75">
      <c r="A675" s="7" t="s">
        <v>2064</v>
      </c>
      <c r="B675" s="8">
        <v>206</v>
      </c>
      <c r="C675" s="9" t="s">
        <v>2065</v>
      </c>
      <c r="D675" s="7">
        <v>2020</v>
      </c>
    </row>
    <row r="676" spans="1:4" ht="12.75">
      <c r="A676" s="10" t="s">
        <v>2059</v>
      </c>
      <c r="B676" s="11">
        <v>205</v>
      </c>
      <c r="C676" s="12" t="s">
        <v>2059</v>
      </c>
      <c r="D676" s="10">
        <v>2017</v>
      </c>
    </row>
    <row r="677" spans="1:4" ht="12.75">
      <c r="A677" s="7" t="s">
        <v>2066</v>
      </c>
      <c r="B677" s="8">
        <v>201</v>
      </c>
      <c r="C677" s="9" t="s">
        <v>2061</v>
      </c>
      <c r="D677" s="7">
        <v>2013</v>
      </c>
    </row>
    <row r="678" spans="1:4" ht="12.75">
      <c r="A678" s="139" t="s">
        <v>3976</v>
      </c>
      <c r="B678" s="11">
        <v>193</v>
      </c>
      <c r="C678" s="12" t="s">
        <v>2061</v>
      </c>
      <c r="D678" s="10">
        <v>2013</v>
      </c>
    </row>
    <row r="679" spans="1:4" ht="12.75">
      <c r="A679" s="7" t="s">
        <v>2067</v>
      </c>
      <c r="B679" s="8">
        <v>189</v>
      </c>
      <c r="C679" s="9" t="s">
        <v>2065</v>
      </c>
      <c r="D679" s="7">
        <v>2020</v>
      </c>
    </row>
    <row r="680" spans="1:4" ht="12.75">
      <c r="A680" s="10" t="s">
        <v>2068</v>
      </c>
      <c r="B680" s="11">
        <v>187</v>
      </c>
      <c r="C680" s="12" t="s">
        <v>2065</v>
      </c>
      <c r="D680" s="10">
        <v>2020</v>
      </c>
    </row>
    <row r="681" spans="1:4" ht="12.75">
      <c r="A681" s="152"/>
      <c r="B681" s="153"/>
      <c r="C681" s="153"/>
      <c r="D681" s="154"/>
    </row>
    <row r="682" spans="1:4" ht="18">
      <c r="A682" s="22" t="str">
        <f>HYPERLINK("https://www.reddit.com/r/indieheads/comments/6l7hc2/top_ten_tuesday_the_kinks/","The Kinks")</f>
        <v>The Kinks</v>
      </c>
      <c r="B682" s="30">
        <v>42920</v>
      </c>
      <c r="C682" s="24"/>
      <c r="D682" s="24"/>
    </row>
    <row r="683" spans="1:4" ht="12.75">
      <c r="A683" s="26" t="s">
        <v>2</v>
      </c>
      <c r="B683" s="26" t="s">
        <v>3</v>
      </c>
      <c r="C683" s="26" t="s">
        <v>4</v>
      </c>
      <c r="D683" s="26" t="s">
        <v>5</v>
      </c>
    </row>
    <row r="684" spans="1:4" ht="12.75">
      <c r="A684" s="7" t="s">
        <v>2069</v>
      </c>
      <c r="B684" s="8">
        <v>198</v>
      </c>
      <c r="C684" s="9" t="str">
        <f>HYPERLINK("https://en.wikipedia.org/wiki/Something_Else_by_The_Kinks","Something Else by The Kinks")</f>
        <v>Something Else by The Kinks</v>
      </c>
      <c r="D684" s="7">
        <v>1967</v>
      </c>
    </row>
    <row r="685" spans="1:4" ht="12.75">
      <c r="A685" s="27" t="s">
        <v>2070</v>
      </c>
      <c r="B685" s="28">
        <v>104</v>
      </c>
      <c r="C685" s="29" t="str">
        <f>HYPERLINK("https://en.wikipedia.org/wiki/Arthur_(Or_the_Decline_and_Fall_of_the_British_Empire)","Arthur (Or the Decline and Fall of the British Empire)")</f>
        <v>Arthur (Or the Decline and Fall of the British Empire)</v>
      </c>
      <c r="D685" s="27">
        <v>1969</v>
      </c>
    </row>
    <row r="686" spans="1:4" ht="12.75">
      <c r="A686" s="7" t="s">
        <v>2071</v>
      </c>
      <c r="B686" s="8">
        <v>97</v>
      </c>
      <c r="C686" s="9" t="str">
        <f>HYPERLINK("https://en.wikipedia.org/wiki/Lola_Versus_Powerman_and_the_Moneygoround,_Part_One","Lola Versus Powerman and the Moneyground, Part One")</f>
        <v>Lola Versus Powerman and the Moneyground, Part One</v>
      </c>
      <c r="D686" s="7">
        <v>1970</v>
      </c>
    </row>
    <row r="687" spans="1:4" ht="12.75">
      <c r="A687" s="27" t="s">
        <v>2072</v>
      </c>
      <c r="B687" s="28">
        <v>86</v>
      </c>
      <c r="C687" s="29" t="str">
        <f>HYPERLINK("https://en.wikipedia.org/wiki/Sunny_Afternoon","Face to Face")</f>
        <v>Face to Face</v>
      </c>
      <c r="D687" s="27">
        <v>1966</v>
      </c>
    </row>
    <row r="688" spans="1:4" ht="12.75">
      <c r="A688" s="7" t="s">
        <v>2073</v>
      </c>
      <c r="B688" s="8">
        <v>80</v>
      </c>
      <c r="C688" s="9" t="str">
        <f>HYPERLINK("https://en.wikipedia.org/wiki/The_Kinks_Are_the_Village_Green_Preservation_Society","The Kinks Are the Village Green Preservation Society")</f>
        <v>The Kinks Are the Village Green Preservation Society</v>
      </c>
      <c r="D688" s="7">
        <v>1968</v>
      </c>
    </row>
    <row r="689" spans="1:4" ht="12.75">
      <c r="A689" s="27" t="s">
        <v>2074</v>
      </c>
      <c r="B689" s="28">
        <v>63</v>
      </c>
      <c r="C689" s="29" t="str">
        <f>HYPERLINK("https://en.wikipedia.org/wiki/Lola_Versus_Powerman_and_the_Moneygoround,_Part_One","Lola Versus Powerman and the Moneyground, Part One")</f>
        <v>Lola Versus Powerman and the Moneyground, Part One</v>
      </c>
      <c r="D689" s="27">
        <v>1970</v>
      </c>
    </row>
    <row r="690" spans="1:4" ht="12.75">
      <c r="A690" s="7" t="s">
        <v>1949</v>
      </c>
      <c r="B690" s="8">
        <v>57</v>
      </c>
      <c r="C690" s="9" t="str">
        <f>HYPERLINK("https://en.wikipedia.org/wiki/Arthur_(Or_the_Decline_and_Fall_of_the_British_Empire)","Arthur (Or the Decline and Fall of the British Empire)")</f>
        <v>Arthur (Or the Decline and Fall of the British Empire)</v>
      </c>
      <c r="D690" s="7">
        <v>1969</v>
      </c>
    </row>
    <row r="691" spans="1:4" ht="12.75">
      <c r="A691" s="27" t="s">
        <v>2075</v>
      </c>
      <c r="B691" s="28">
        <v>49</v>
      </c>
      <c r="C691" s="29" t="str">
        <f>HYPERLINK("https://en.wikipedia.org/wiki/The_Kinks_Are_the_Village_Green_Preservation_Society","The Kinks Are the Village Green Preservation Society")</f>
        <v>The Kinks Are the Village Green Preservation Society</v>
      </c>
      <c r="D691" s="27">
        <v>1968</v>
      </c>
    </row>
    <row r="692" spans="1:4" ht="12.75">
      <c r="A692" s="7" t="s">
        <v>2076</v>
      </c>
      <c r="B692" s="8">
        <v>49</v>
      </c>
      <c r="C692" s="9" t="str">
        <f>HYPERLINK("https://en.wikipedia.org/wiki/Kinks-Size","Kinks-Size")</f>
        <v>Kinks-Size</v>
      </c>
      <c r="D692" s="7">
        <v>1964</v>
      </c>
    </row>
    <row r="693" spans="1:4" ht="12.75">
      <c r="A693" s="27" t="s">
        <v>2077</v>
      </c>
      <c r="B693" s="28">
        <v>48</v>
      </c>
      <c r="C693" s="29" t="str">
        <f>HYPERLINK("https://en.wikipedia.org/wiki/Lola_Versus_Powerman_and_the_Moneygoround,_Part_One","Lola Versus Powerman and the Moneyground, Part One")</f>
        <v>Lola Versus Powerman and the Moneyground, Part One</v>
      </c>
      <c r="D693" s="27">
        <v>1970</v>
      </c>
    </row>
    <row r="694" spans="1:4" ht="12.75">
      <c r="A694" s="152"/>
      <c r="B694" s="153"/>
      <c r="C694" s="153"/>
      <c r="D694" s="154"/>
    </row>
    <row r="695" spans="1:4" ht="18">
      <c r="A695" s="22" t="str">
        <f>HYPERLINK("https://www.reddit.com/r/indieheads/comments/72jqma/top_ten_tuesday_the_knife/","The Knife")</f>
        <v>The Knife</v>
      </c>
      <c r="B695" s="30">
        <v>43004</v>
      </c>
      <c r="C695" s="24"/>
      <c r="D695" s="24"/>
    </row>
    <row r="696" spans="1:4" ht="12.75">
      <c r="A696" s="26" t="s">
        <v>2</v>
      </c>
      <c r="B696" s="26" t="s">
        <v>3</v>
      </c>
      <c r="C696" s="26" t="s">
        <v>4</v>
      </c>
      <c r="D696" s="26" t="s">
        <v>5</v>
      </c>
    </row>
    <row r="697" spans="1:4" ht="12.75">
      <c r="A697" s="7" t="s">
        <v>2078</v>
      </c>
      <c r="B697" s="8">
        <v>200</v>
      </c>
      <c r="C697" s="9" t="str">
        <f>HYPERLINK("https://en.wikipedia.org/wiki/Deep_Cuts_(The_Knife_album)","Deep Cuts")</f>
        <v>Deep Cuts</v>
      </c>
      <c r="D697" s="7">
        <v>2002</v>
      </c>
    </row>
    <row r="698" spans="1:4" ht="12.75">
      <c r="A698" s="27" t="s">
        <v>2079</v>
      </c>
      <c r="B698" s="28">
        <v>168</v>
      </c>
      <c r="C698" s="29" t="str">
        <f t="shared" ref="C698:C699" si="41">HYPERLINK("https://en.wikipedia.org/wiki/Silent_Shout","Silent Shout")</f>
        <v>Silent Shout</v>
      </c>
      <c r="D698" s="27">
        <v>2006</v>
      </c>
    </row>
    <row r="699" spans="1:4" ht="12.75">
      <c r="A699" s="7" t="s">
        <v>2080</v>
      </c>
      <c r="B699" s="8">
        <v>167</v>
      </c>
      <c r="C699" s="9" t="str">
        <f t="shared" si="41"/>
        <v>Silent Shout</v>
      </c>
      <c r="D699" s="7">
        <v>2006</v>
      </c>
    </row>
    <row r="700" spans="1:4" ht="12.75">
      <c r="A700" s="27" t="s">
        <v>2081</v>
      </c>
      <c r="B700" s="28">
        <v>121</v>
      </c>
      <c r="C700" s="29" t="str">
        <f t="shared" ref="C700:C702" si="42">HYPERLINK("https://en.wikipedia.org/wiki/Shaking_the_Habitual","Shaking the Habitual")</f>
        <v>Shaking the Habitual</v>
      </c>
      <c r="D700" s="27">
        <v>2013</v>
      </c>
    </row>
    <row r="701" spans="1:4" ht="12.75">
      <c r="A701" s="7" t="s">
        <v>2082</v>
      </c>
      <c r="B701" s="8">
        <v>113</v>
      </c>
      <c r="C701" s="9" t="str">
        <f t="shared" si="42"/>
        <v>Shaking the Habitual</v>
      </c>
      <c r="D701" s="7">
        <v>2013</v>
      </c>
    </row>
    <row r="702" spans="1:4" ht="12.75">
      <c r="A702" s="27" t="s">
        <v>2083</v>
      </c>
      <c r="B702" s="28">
        <v>100</v>
      </c>
      <c r="C702" s="29" t="str">
        <f t="shared" si="42"/>
        <v>Shaking the Habitual</v>
      </c>
      <c r="D702" s="27">
        <v>2013</v>
      </c>
    </row>
    <row r="703" spans="1:4" ht="12.75">
      <c r="A703" s="7" t="s">
        <v>2084</v>
      </c>
      <c r="B703" s="8">
        <v>80</v>
      </c>
      <c r="C703" s="9" t="str">
        <f>HYPERLINK("https://en.wikipedia.org/wiki/Silent_Shout","Silent Shout")</f>
        <v>Silent Shout</v>
      </c>
      <c r="D703" s="7">
        <v>2006</v>
      </c>
    </row>
    <row r="704" spans="1:4" ht="12.75">
      <c r="A704" s="27" t="s">
        <v>2085</v>
      </c>
      <c r="B704" s="28">
        <v>74</v>
      </c>
      <c r="C704" s="29" t="str">
        <f>HYPERLINK("https://en.wikipedia.org/wiki/Deep_Cuts_(The_Knife_album)","Deep Cuts")</f>
        <v>Deep Cuts</v>
      </c>
      <c r="D704" s="27">
        <v>2003</v>
      </c>
    </row>
    <row r="705" spans="1:4" ht="12.75">
      <c r="A705" s="7" t="s">
        <v>2086</v>
      </c>
      <c r="B705" s="8">
        <v>57</v>
      </c>
      <c r="C705" s="9" t="str">
        <f>HYPERLINK("https://en.wikipedia.org/wiki/Shaking_the_Habitual","Shaking the Habitual")</f>
        <v>Shaking the Habitual</v>
      </c>
      <c r="D705" s="7">
        <v>2013</v>
      </c>
    </row>
    <row r="706" spans="1:4" ht="12.75">
      <c r="A706" s="27" t="s">
        <v>2087</v>
      </c>
      <c r="B706" s="28">
        <v>56</v>
      </c>
      <c r="C706" s="29" t="str">
        <f>HYPERLINK("https://en.wikipedia.org/wiki/Silent_Shout","Silent Shout")</f>
        <v>Silent Shout</v>
      </c>
      <c r="D706" s="27">
        <v>2006</v>
      </c>
    </row>
    <row r="707" spans="1:4" ht="12.75">
      <c r="A707" s="152"/>
      <c r="B707" s="153"/>
      <c r="C707" s="153"/>
      <c r="D707" s="154"/>
    </row>
    <row r="708" spans="1:4" ht="18">
      <c r="A708" s="22" t="str">
        <f>HYPERLINK("https://www.reddit.com/r/indieheads/comments/bgflal/top_ten_tuesday_kraftwerk/","Kraftwerk")</f>
        <v>Kraftwerk</v>
      </c>
      <c r="B708" s="30">
        <v>43578</v>
      </c>
      <c r="C708" s="24"/>
      <c r="D708" s="32" t="s">
        <v>1</v>
      </c>
    </row>
    <row r="709" spans="1:4" ht="12.75">
      <c r="A709" s="26" t="s">
        <v>2</v>
      </c>
      <c r="B709" s="26" t="s">
        <v>3</v>
      </c>
      <c r="C709" s="26" t="s">
        <v>4</v>
      </c>
      <c r="D709" s="26" t="s">
        <v>5</v>
      </c>
    </row>
    <row r="710" spans="1:4" ht="12.75">
      <c r="A710" s="7" t="s">
        <v>2088</v>
      </c>
      <c r="B710" s="8">
        <v>119</v>
      </c>
      <c r="C710" s="9" t="str">
        <f>HYPERLINK("https://en.wikipedia.org/wiki/Trans-Europe_Express_(album)","Trans-Europe Express")</f>
        <v>Trans-Europe Express</v>
      </c>
      <c r="D710" s="7">
        <v>1977</v>
      </c>
    </row>
    <row r="711" spans="1:4" ht="12.75">
      <c r="A711" s="27" t="s">
        <v>2089</v>
      </c>
      <c r="B711" s="28">
        <v>117</v>
      </c>
      <c r="C711" s="29" t="str">
        <f>HYPERLINK("https://en.wikipedia.org/wiki/Autobahn_(album)","Autobahn")</f>
        <v>Autobahn</v>
      </c>
      <c r="D711" s="27">
        <v>1974</v>
      </c>
    </row>
    <row r="712" spans="1:4" ht="12.75">
      <c r="A712" s="7" t="s">
        <v>2090</v>
      </c>
      <c r="B712" s="8">
        <v>98</v>
      </c>
      <c r="C712" s="9" t="str">
        <f>HYPERLINK("https://en.wikipedia.org/wiki/Computer_World","Computer World")</f>
        <v>Computer World</v>
      </c>
      <c r="D712" s="7">
        <v>1981</v>
      </c>
    </row>
    <row r="713" spans="1:4" ht="12.75">
      <c r="A713" s="27" t="s">
        <v>2091</v>
      </c>
      <c r="B713" s="28">
        <v>79</v>
      </c>
      <c r="C713" s="29" t="str">
        <f>HYPERLINK("https://en.wikipedia.org/wiki/The_Man-Machine","The Man-Machine")</f>
        <v>The Man-Machine</v>
      </c>
      <c r="D713" s="27">
        <v>1978</v>
      </c>
    </row>
    <row r="714" spans="1:4" ht="12.75">
      <c r="A714" s="7" t="s">
        <v>2092</v>
      </c>
      <c r="B714" s="8">
        <v>69</v>
      </c>
      <c r="C714" s="9" t="str">
        <f>HYPERLINK("https://en.wikipedia.org/wiki/Radio-Activity","Radio-Activity")</f>
        <v>Radio-Activity</v>
      </c>
      <c r="D714" s="7">
        <v>1975</v>
      </c>
    </row>
    <row r="715" spans="1:4" ht="12.75">
      <c r="A715" s="27" t="s">
        <v>2093</v>
      </c>
      <c r="B715" s="28">
        <v>59</v>
      </c>
      <c r="C715" s="29" t="str">
        <f>HYPERLINK("https://en.wikipedia.org/wiki/The_Man-Machine","The Man-Machine")</f>
        <v>The Man-Machine</v>
      </c>
      <c r="D715" s="27">
        <v>1978</v>
      </c>
    </row>
    <row r="716" spans="1:4" ht="12.75">
      <c r="A716" s="7" t="s">
        <v>2094</v>
      </c>
      <c r="B716" s="8">
        <v>54</v>
      </c>
      <c r="C716" s="9" t="str">
        <f>HYPERLINK("https://en.wikipedia.org/wiki/Computer_World","Computer World")</f>
        <v>Computer World</v>
      </c>
      <c r="D716" s="7">
        <v>1981</v>
      </c>
    </row>
    <row r="717" spans="1:4" ht="12.75">
      <c r="A717" s="27" t="s">
        <v>2095</v>
      </c>
      <c r="B717" s="28">
        <v>52</v>
      </c>
      <c r="C717" s="29" t="str">
        <f>HYPERLINK("https://en.wikipedia.org/wiki/The_Man-Machine","The Man-Machine")</f>
        <v>The Man-Machine</v>
      </c>
      <c r="D717" s="27">
        <v>1978</v>
      </c>
    </row>
    <row r="718" spans="1:4" ht="12.75">
      <c r="A718" s="7" t="s">
        <v>2096</v>
      </c>
      <c r="B718" s="8">
        <v>45</v>
      </c>
      <c r="C718" s="9" t="str">
        <f>HYPERLINK("https://en.wikipedia.org/wiki/Trans-Europe_Express_(album)","Trans-Europe Express")</f>
        <v>Trans-Europe Express</v>
      </c>
      <c r="D718" s="7">
        <v>1977</v>
      </c>
    </row>
    <row r="719" spans="1:4" ht="12.75">
      <c r="A719" s="27" t="s">
        <v>2097</v>
      </c>
      <c r="B719" s="28">
        <v>43</v>
      </c>
      <c r="C719" s="27"/>
      <c r="D719" s="27">
        <v>1983</v>
      </c>
    </row>
    <row r="720" spans="1:4" ht="12.75">
      <c r="A720" s="152"/>
      <c r="B720" s="153"/>
      <c r="C720" s="153"/>
      <c r="D720" s="154"/>
    </row>
    <row r="721" spans="1:4" ht="18">
      <c r="A721" s="22" t="str">
        <f>HYPERLINK("https://www.reddit.com/r/indieheads/comments/4z66wg/top_ten_tuesday_kurt_vile/","Kurt Vile")</f>
        <v>Kurt Vile</v>
      </c>
      <c r="B721" s="43">
        <v>42605</v>
      </c>
      <c r="C721" s="24"/>
      <c r="D721" s="24"/>
    </row>
    <row r="722" spans="1:4" ht="12.75">
      <c r="A722" s="26" t="s">
        <v>2</v>
      </c>
      <c r="B722" s="26" t="s">
        <v>3</v>
      </c>
      <c r="C722" s="26" t="s">
        <v>4</v>
      </c>
      <c r="D722" s="26" t="s">
        <v>5</v>
      </c>
    </row>
    <row r="723" spans="1:4" ht="12.75">
      <c r="A723" s="7" t="s">
        <v>2098</v>
      </c>
      <c r="B723" s="8">
        <v>203</v>
      </c>
      <c r="C723" s="9" t="str">
        <f>HYPERLINK("https://en.wikipedia.org/wiki/Wakin_on_a_Pretty_Daze","Wakin on a Pretty Daze")</f>
        <v>Wakin on a Pretty Daze</v>
      </c>
      <c r="D723" s="7">
        <v>2013</v>
      </c>
    </row>
    <row r="724" spans="1:4" ht="12.75">
      <c r="A724" s="27" t="s">
        <v>2099</v>
      </c>
      <c r="B724" s="28">
        <v>129</v>
      </c>
      <c r="C724" s="29" t="str">
        <f>HYPERLINK("https://en.wikipedia.org/wiki/B%27lieve_I%27m_Goin_Down...","b'lieve i'm going down...")</f>
        <v>b'lieve i'm going down...</v>
      </c>
      <c r="D724" s="27">
        <v>2015</v>
      </c>
    </row>
    <row r="725" spans="1:4" ht="12.75">
      <c r="A725" s="7" t="s">
        <v>2100</v>
      </c>
      <c r="B725" s="8">
        <v>88</v>
      </c>
      <c r="C725" s="9" t="str">
        <f t="shared" ref="C725:C726" si="43">HYPERLINK("https://en.wikipedia.org/wiki/Smoke_Ring_for_My_Halo","Smoke Ring for My Halo")</f>
        <v>Smoke Ring for My Halo</v>
      </c>
      <c r="D725" s="7">
        <v>2011</v>
      </c>
    </row>
    <row r="726" spans="1:4" ht="12.75">
      <c r="A726" s="27" t="s">
        <v>2101</v>
      </c>
      <c r="B726" s="28">
        <v>88</v>
      </c>
      <c r="C726" s="29" t="str">
        <f t="shared" si="43"/>
        <v>Smoke Ring for My Halo</v>
      </c>
      <c r="D726" s="27">
        <v>2011</v>
      </c>
    </row>
    <row r="727" spans="1:4" ht="12.75">
      <c r="A727" s="7" t="s">
        <v>2102</v>
      </c>
      <c r="B727" s="8">
        <v>86</v>
      </c>
      <c r="C727" s="9" t="str">
        <f t="shared" ref="C727:C728" si="44">HYPERLINK("https://en.wikipedia.org/wiki/Wakin_on_a_Pretty_Daze","Wakin on a Pretty Daze")</f>
        <v>Wakin on a Pretty Daze</v>
      </c>
      <c r="D727" s="7">
        <v>2013</v>
      </c>
    </row>
    <row r="728" spans="1:4" ht="12.75">
      <c r="A728" s="27" t="s">
        <v>2103</v>
      </c>
      <c r="B728" s="28">
        <v>84</v>
      </c>
      <c r="C728" s="29" t="str">
        <f t="shared" si="44"/>
        <v>Wakin on a Pretty Daze</v>
      </c>
      <c r="D728" s="27">
        <v>2013</v>
      </c>
    </row>
    <row r="729" spans="1:4" ht="12.75">
      <c r="A729" s="7" t="s">
        <v>2104</v>
      </c>
      <c r="B729" s="8">
        <v>77</v>
      </c>
      <c r="C729" s="9" t="str">
        <f>HYPERLINK("https://en.wikipedia.org/wiki/Childish_Prodigy","Childish Prodigy")</f>
        <v>Childish Prodigy</v>
      </c>
      <c r="D729" s="7">
        <v>2009</v>
      </c>
    </row>
    <row r="730" spans="1:4" ht="12.75">
      <c r="A730" s="27" t="s">
        <v>2105</v>
      </c>
      <c r="B730" s="28">
        <v>62</v>
      </c>
      <c r="C730" s="29" t="str">
        <f>HYPERLINK("https://en.wikipedia.org/wiki/Smoke_Ring_for_My_Halo","Smoke Ring for My Halo")</f>
        <v>Smoke Ring for My Halo</v>
      </c>
      <c r="D730" s="27">
        <v>2011</v>
      </c>
    </row>
    <row r="731" spans="1:4" ht="12.75">
      <c r="A731" s="7" t="s">
        <v>2106</v>
      </c>
      <c r="B731" s="8">
        <v>60</v>
      </c>
      <c r="C731" s="9" t="str">
        <f>HYPERLINK("https://en.wikipedia.org/wiki/B%27lieve_I%27m_Goin_Down...","b'lieve i'm going down...")</f>
        <v>b'lieve i'm going down...</v>
      </c>
      <c r="D731" s="7">
        <v>2015</v>
      </c>
    </row>
    <row r="732" spans="1:4" ht="12.75">
      <c r="A732" s="27" t="s">
        <v>2107</v>
      </c>
      <c r="B732" s="28">
        <v>53</v>
      </c>
      <c r="C732" s="29" t="str">
        <f>HYPERLINK("https://en.wikipedia.org/wiki/Wakin_on_a_Pretty_Daze","Wakin on a Pretty Daze")</f>
        <v>Wakin on a Pretty Daze</v>
      </c>
      <c r="D732" s="27">
        <v>2013</v>
      </c>
    </row>
    <row r="733" spans="1:4" ht="12.75">
      <c r="A733" s="152"/>
      <c r="B733" s="153"/>
      <c r="C733" s="153"/>
      <c r="D733" s="154"/>
    </row>
    <row r="734" spans="1:4" ht="18">
      <c r="A734" s="22" t="s">
        <v>2108</v>
      </c>
      <c r="B734" s="30">
        <v>43991</v>
      </c>
      <c r="C734" s="24"/>
      <c r="D734" s="32" t="s">
        <v>1</v>
      </c>
    </row>
    <row r="735" spans="1:4" ht="12.75">
      <c r="A735" s="26" t="s">
        <v>2</v>
      </c>
      <c r="B735" s="26" t="s">
        <v>3</v>
      </c>
      <c r="C735" s="26" t="s">
        <v>4</v>
      </c>
      <c r="D735" s="26" t="s">
        <v>5</v>
      </c>
    </row>
    <row r="736" spans="1:4" ht="12.75">
      <c r="A736" s="7" t="s">
        <v>2109</v>
      </c>
      <c r="B736" s="8">
        <v>398</v>
      </c>
      <c r="C736" s="9" t="s">
        <v>2110</v>
      </c>
      <c r="D736" s="7">
        <v>2019</v>
      </c>
    </row>
    <row r="737" spans="1:4" ht="12.75">
      <c r="A737" s="27" t="s">
        <v>2111</v>
      </c>
      <c r="B737" s="28">
        <v>342</v>
      </c>
      <c r="C737" s="29" t="s">
        <v>2110</v>
      </c>
      <c r="D737" s="27">
        <v>2019</v>
      </c>
    </row>
    <row r="738" spans="1:4" ht="12.75">
      <c r="A738" s="7" t="s">
        <v>1269</v>
      </c>
      <c r="B738" s="8">
        <v>311</v>
      </c>
      <c r="C738" s="9" t="s">
        <v>2112</v>
      </c>
      <c r="D738" s="7">
        <v>2014</v>
      </c>
    </row>
    <row r="739" spans="1:4" ht="12.75">
      <c r="A739" s="27" t="s">
        <v>2113</v>
      </c>
      <c r="B739" s="28">
        <v>306</v>
      </c>
      <c r="C739" s="29" t="s">
        <v>2114</v>
      </c>
      <c r="D739" s="27">
        <v>2012</v>
      </c>
    </row>
    <row r="740" spans="1:4" ht="12.75">
      <c r="A740" s="7" t="s">
        <v>2115</v>
      </c>
      <c r="B740" s="8">
        <v>295</v>
      </c>
      <c r="C740" s="9" t="s">
        <v>2110</v>
      </c>
      <c r="D740" s="7">
        <v>2019</v>
      </c>
    </row>
    <row r="741" spans="1:4" ht="12.75">
      <c r="A741" s="27" t="s">
        <v>2116</v>
      </c>
      <c r="B741" s="28">
        <v>290</v>
      </c>
      <c r="C741" s="29" t="s">
        <v>2117</v>
      </c>
      <c r="D741" s="27">
        <v>2012</v>
      </c>
    </row>
    <row r="742" spans="1:4" ht="12.75">
      <c r="A742" s="7" t="s">
        <v>2118</v>
      </c>
      <c r="B742" s="8">
        <v>222</v>
      </c>
      <c r="C742" s="9" t="s">
        <v>2112</v>
      </c>
      <c r="D742" s="7">
        <v>2014</v>
      </c>
    </row>
    <row r="743" spans="1:4" ht="12.75">
      <c r="A743" s="27" t="s">
        <v>2119</v>
      </c>
      <c r="B743" s="28">
        <v>175</v>
      </c>
      <c r="C743" s="29" t="s">
        <v>2110</v>
      </c>
      <c r="D743" s="27">
        <v>2019</v>
      </c>
    </row>
    <row r="744" spans="1:4" ht="12.75">
      <c r="A744" s="7" t="s">
        <v>2120</v>
      </c>
      <c r="B744" s="8">
        <v>174</v>
      </c>
      <c r="C744" s="9" t="s">
        <v>2112</v>
      </c>
      <c r="D744" s="7">
        <v>2014</v>
      </c>
    </row>
    <row r="745" spans="1:4" ht="12.75">
      <c r="A745" s="27" t="s">
        <v>2117</v>
      </c>
      <c r="B745" s="28">
        <v>157</v>
      </c>
      <c r="C745" s="29" t="s">
        <v>2117</v>
      </c>
      <c r="D745" s="27">
        <v>2012</v>
      </c>
    </row>
    <row r="746" spans="1:4" ht="12.75">
      <c r="A746" s="152"/>
      <c r="B746" s="153"/>
      <c r="C746" s="153"/>
      <c r="D746" s="154"/>
    </row>
    <row r="747" spans="1:4" ht="18">
      <c r="A747" s="22" t="s">
        <v>2121</v>
      </c>
      <c r="B747" s="30">
        <v>44397</v>
      </c>
      <c r="C747" s="31"/>
      <c r="D747" s="32" t="s">
        <v>1</v>
      </c>
    </row>
    <row r="748" spans="1:4" ht="12.75">
      <c r="A748" s="26" t="s">
        <v>2</v>
      </c>
      <c r="B748" s="26" t="s">
        <v>3</v>
      </c>
      <c r="C748" s="26" t="s">
        <v>4</v>
      </c>
      <c r="D748" s="26" t="s">
        <v>5</v>
      </c>
    </row>
    <row r="749" spans="1:4" ht="12.75">
      <c r="A749" s="7" t="s">
        <v>2122</v>
      </c>
      <c r="B749" s="8">
        <v>96</v>
      </c>
      <c r="C749" s="9" t="s">
        <v>2123</v>
      </c>
      <c r="D749" s="7">
        <v>2011</v>
      </c>
    </row>
    <row r="750" spans="1:4" ht="12.75">
      <c r="A750" s="27" t="s">
        <v>2124</v>
      </c>
      <c r="B750" s="28">
        <v>84</v>
      </c>
      <c r="C750" s="29" t="s">
        <v>2125</v>
      </c>
      <c r="D750" s="27">
        <v>2013</v>
      </c>
    </row>
    <row r="751" spans="1:4" ht="12.75">
      <c r="A751" s="7" t="s">
        <v>2126</v>
      </c>
      <c r="B751" s="8">
        <v>59</v>
      </c>
      <c r="C751" s="9" t="s">
        <v>2125</v>
      </c>
      <c r="D751" s="7">
        <v>2013</v>
      </c>
    </row>
    <row r="752" spans="1:4" ht="12.75">
      <c r="A752" s="27" t="s">
        <v>2127</v>
      </c>
      <c r="B752" s="28">
        <v>58</v>
      </c>
      <c r="C752" s="29" t="s">
        <v>2127</v>
      </c>
      <c r="D752" s="27">
        <v>2010</v>
      </c>
    </row>
    <row r="753" spans="1:4" ht="12.75">
      <c r="A753" s="7" t="s">
        <v>2128</v>
      </c>
      <c r="B753" s="8">
        <v>57</v>
      </c>
      <c r="C753" s="9" t="s">
        <v>2127</v>
      </c>
      <c r="D753" s="7">
        <v>2010</v>
      </c>
    </row>
    <row r="754" spans="1:4" ht="12.75">
      <c r="A754" s="27" t="s">
        <v>2129</v>
      </c>
      <c r="B754" s="28">
        <v>56</v>
      </c>
      <c r="C754" s="29" t="s">
        <v>2130</v>
      </c>
      <c r="D754" s="27">
        <v>2017</v>
      </c>
    </row>
    <row r="755" spans="1:4" ht="12.75">
      <c r="A755" s="7" t="s">
        <v>2131</v>
      </c>
      <c r="B755" s="8">
        <v>55</v>
      </c>
      <c r="C755" s="9" t="s">
        <v>2132</v>
      </c>
      <c r="D755" s="7">
        <v>2020</v>
      </c>
    </row>
    <row r="756" spans="1:4" ht="12.75">
      <c r="A756" s="27" t="s">
        <v>2133</v>
      </c>
      <c r="B756" s="28">
        <v>49</v>
      </c>
      <c r="C756" s="29" t="s">
        <v>2133</v>
      </c>
      <c r="D756" s="27">
        <v>2015</v>
      </c>
    </row>
    <row r="757" spans="1:4" ht="12.75">
      <c r="A757" s="7" t="s">
        <v>2134</v>
      </c>
      <c r="B757" s="8">
        <v>41</v>
      </c>
      <c r="C757" s="9" t="s">
        <v>2123</v>
      </c>
      <c r="D757" s="7">
        <v>2011</v>
      </c>
    </row>
    <row r="758" spans="1:4" ht="12.75">
      <c r="A758" s="27" t="s">
        <v>2135</v>
      </c>
      <c r="B758" s="28">
        <v>39</v>
      </c>
      <c r="C758" s="29" t="s">
        <v>2130</v>
      </c>
      <c r="D758" s="27">
        <v>2017</v>
      </c>
    </row>
    <row r="759" spans="1:4" ht="12.75">
      <c r="A759" s="152"/>
      <c r="B759" s="153"/>
      <c r="C759" s="153"/>
      <c r="D759" s="154"/>
    </row>
    <row r="760" spans="1:4" ht="18">
      <c r="A760" s="22" t="str">
        <f>HYPERLINK("https://www.reddit.com/r/indieheads/comments/7p7s0d/top_ten_tuesday_lcd_soundsystem/","LCD Soundsystem")</f>
        <v>LCD Soundsystem</v>
      </c>
      <c r="B760" s="23">
        <v>43109</v>
      </c>
      <c r="C760" s="24"/>
      <c r="D760" s="24"/>
    </row>
    <row r="761" spans="1:4" ht="12.75">
      <c r="A761" s="26" t="s">
        <v>2</v>
      </c>
      <c r="B761" s="26" t="s">
        <v>3</v>
      </c>
      <c r="C761" s="26" t="s">
        <v>4</v>
      </c>
      <c r="D761" s="26" t="s">
        <v>5</v>
      </c>
    </row>
    <row r="762" spans="1:4" ht="12.75">
      <c r="A762" s="7" t="s">
        <v>2136</v>
      </c>
      <c r="B762" s="8">
        <v>2013</v>
      </c>
      <c r="C762" s="9" t="str">
        <f>HYPERLINK("http://en.wikipedia.org/wiki/Sound_of_Silver","Sound of Silver")</f>
        <v>Sound of Silver</v>
      </c>
      <c r="D762" s="7">
        <v>2007</v>
      </c>
    </row>
    <row r="763" spans="1:4" ht="12.75">
      <c r="A763" s="27" t="s">
        <v>2137</v>
      </c>
      <c r="B763" s="28">
        <v>1792</v>
      </c>
      <c r="C763" s="29" t="str">
        <f>HYPERLINK("http://en.wikipedia.org/wiki/This_Is_Happening","This Is Happening")</f>
        <v>This Is Happening</v>
      </c>
      <c r="D763" s="27">
        <v>2010</v>
      </c>
    </row>
    <row r="764" spans="1:4" ht="12.75">
      <c r="A764" s="7" t="s">
        <v>2138</v>
      </c>
      <c r="B764" s="8">
        <v>1423</v>
      </c>
      <c r="C764" s="9" t="str">
        <f>HYPERLINK("http://en.wikipedia.org/wiki/Sound_of_Silver","Sound of Silver")</f>
        <v>Sound of Silver</v>
      </c>
      <c r="D764" s="7">
        <v>2007</v>
      </c>
    </row>
    <row r="765" spans="1:4" ht="12.75">
      <c r="A765" s="10" t="s">
        <v>2139</v>
      </c>
      <c r="B765" s="11">
        <v>1024</v>
      </c>
      <c r="C765" s="12" t="str">
        <f>HYPERLINK("http://en.wikipedia.org/wiki/This_Is_Happening","This Is Happening")</f>
        <v>This Is Happening</v>
      </c>
      <c r="D765" s="10">
        <v>2010</v>
      </c>
    </row>
    <row r="766" spans="1:4" ht="12.75">
      <c r="A766" s="7" t="s">
        <v>2140</v>
      </c>
      <c r="B766" s="8">
        <v>870</v>
      </c>
      <c r="C766" s="9" t="str">
        <f>HYPERLINK("http://en.wikipedia.org/wiki/Sound_of_Silver","Sound of Silver")</f>
        <v>Sound of Silver</v>
      </c>
      <c r="D766" s="7">
        <v>2007</v>
      </c>
    </row>
    <row r="767" spans="1:4" ht="12.75">
      <c r="A767" s="27" t="s">
        <v>2141</v>
      </c>
      <c r="B767" s="28">
        <v>668</v>
      </c>
      <c r="C767" s="29" t="str">
        <f>HYPERLINK("http://en.wikipedia.org/wiki/LCD_Soundsystem_(album)","LCD Soundsystem")</f>
        <v>LCD Soundsystem</v>
      </c>
      <c r="D767" s="27">
        <v>2002</v>
      </c>
    </row>
    <row r="768" spans="1:4" ht="12.75">
      <c r="A768" s="7" t="s">
        <v>2142</v>
      </c>
      <c r="B768" s="8">
        <v>572</v>
      </c>
      <c r="C768" s="9" t="str">
        <f>HYPERLINK("https://en.wikipedia.org/wiki/American_Dream_(LCD_Soundsystem_album)","American Dream")</f>
        <v>American Dream</v>
      </c>
      <c r="D768" s="7">
        <v>2017</v>
      </c>
    </row>
    <row r="769" spans="1:4" ht="12.75">
      <c r="A769" s="10" t="s">
        <v>2143</v>
      </c>
      <c r="B769" s="11">
        <v>562</v>
      </c>
      <c r="C769" s="12" t="str">
        <f>HYPERLINK("http://en.wikipedia.org/wiki/This_Is_Happening","This Is Happening")</f>
        <v>This Is Happening</v>
      </c>
      <c r="D769" s="10">
        <v>2010</v>
      </c>
    </row>
    <row r="770" spans="1:4" ht="12.75">
      <c r="A770" s="7" t="s">
        <v>2144</v>
      </c>
      <c r="B770" s="8">
        <v>513</v>
      </c>
      <c r="C770" s="9" t="str">
        <f>HYPERLINK("https://en.wikipedia.org/wiki/Sound_of_Silver","Sound of Silver")</f>
        <v>Sound of Silver</v>
      </c>
      <c r="D770" s="7">
        <v>2007</v>
      </c>
    </row>
    <row r="771" spans="1:4" ht="12.75">
      <c r="A771" s="10" t="s">
        <v>1934</v>
      </c>
      <c r="B771" s="11">
        <v>510</v>
      </c>
      <c r="C771" s="12" t="str">
        <f>HYPERLINK("http://en.wikipedia.org/wiki/This_Is_Happening","This Is Happening")</f>
        <v>This Is Happening</v>
      </c>
      <c r="D771" s="10">
        <v>2010</v>
      </c>
    </row>
    <row r="772" spans="1:4" ht="12.75">
      <c r="A772" s="152"/>
      <c r="B772" s="153"/>
      <c r="C772" s="153"/>
      <c r="D772" s="154"/>
    </row>
    <row r="773" spans="1:4" ht="18">
      <c r="A773" s="22" t="str">
        <f>HYPERLINK("https://www.reddit.com/r/indieheads/comments/5d3r20/top_ten_tuesday_leonard_cohen/","Leonard Cohen")</f>
        <v>Leonard Cohen</v>
      </c>
      <c r="B773" s="43">
        <v>42689</v>
      </c>
      <c r="C773" s="24"/>
      <c r="D773" s="24"/>
    </row>
    <row r="774" spans="1:4" ht="12.75">
      <c r="A774" s="26" t="s">
        <v>2</v>
      </c>
      <c r="B774" s="26" t="s">
        <v>3</v>
      </c>
      <c r="C774" s="26" t="s">
        <v>4</v>
      </c>
      <c r="D774" s="26" t="s">
        <v>5</v>
      </c>
    </row>
    <row r="775" spans="1:4" ht="12.75">
      <c r="A775" s="7" t="s">
        <v>2145</v>
      </c>
      <c r="B775" s="8">
        <v>178</v>
      </c>
      <c r="C775" s="9" t="str">
        <f>HYPERLINK("https://en.wikipedia.org/wiki/Songs_of_Love_and_Hate","Songs of Love and Hate")</f>
        <v>Songs of Love and Hate</v>
      </c>
      <c r="D775" s="7">
        <v>1971</v>
      </c>
    </row>
    <row r="776" spans="1:4" ht="12.75">
      <c r="A776" s="27" t="s">
        <v>2146</v>
      </c>
      <c r="B776" s="28">
        <v>125</v>
      </c>
      <c r="C776" s="29" t="str">
        <f>HYPERLINK("https://en.wikipedia.org/wiki/Songs_of_Leonard_Cohen","Songs of Leonard Cohen")</f>
        <v>Songs of Leonard Cohen</v>
      </c>
      <c r="D776" s="27">
        <v>1967</v>
      </c>
    </row>
    <row r="777" spans="1:4" ht="12.75">
      <c r="A777" s="7" t="s">
        <v>2147</v>
      </c>
      <c r="B777" s="8">
        <v>108</v>
      </c>
      <c r="C777" s="9" t="str">
        <f>HYPERLINK("https://en.wikipedia.org/wiki/Songs_of_Love_and_Hate","Songs of Love and Hate")</f>
        <v>Songs of Love and Hate</v>
      </c>
      <c r="D777" s="7">
        <v>1971</v>
      </c>
    </row>
    <row r="778" spans="1:4" ht="12.75">
      <c r="A778" s="27" t="s">
        <v>2148</v>
      </c>
      <c r="B778" s="28">
        <v>86</v>
      </c>
      <c r="C778" s="29" t="str">
        <f>HYPERLINK("https://en.wikipedia.org/wiki/New_Skin_for_the_Old_Ceremony","New Skin for the Old Ceremony")</f>
        <v>New Skin for the Old Ceremony</v>
      </c>
      <c r="D778" s="27">
        <v>1974</v>
      </c>
    </row>
    <row r="779" spans="1:4" ht="12.75">
      <c r="A779" s="7" t="s">
        <v>2149</v>
      </c>
      <c r="B779" s="8">
        <v>77</v>
      </c>
      <c r="C779" s="9" t="str">
        <f>HYPERLINK("https://en.wikipedia.org/wiki/Songs_of_Leonard_Cohen","Songs of Leonard Cohen")</f>
        <v>Songs of Leonard Cohen</v>
      </c>
      <c r="D779" s="7">
        <v>1967</v>
      </c>
    </row>
    <row r="780" spans="1:4" ht="12.75">
      <c r="A780" s="27" t="s">
        <v>2150</v>
      </c>
      <c r="B780" s="28">
        <v>67</v>
      </c>
      <c r="C780" s="29" t="str">
        <f>HYPERLINK("https://en.wikipedia.org/wiki/Songs_from_a_Room","Songs from a Room")</f>
        <v>Songs from a Room</v>
      </c>
      <c r="D780" s="27">
        <v>1969</v>
      </c>
    </row>
    <row r="781" spans="1:4" ht="12.75">
      <c r="A781" s="7" t="s">
        <v>1835</v>
      </c>
      <c r="B781" s="8">
        <v>64</v>
      </c>
      <c r="C781" s="9" t="str">
        <f>HYPERLINK("https://en.wikipedia.org/wiki/Various_Positions","Various Positions")</f>
        <v>Various Positions</v>
      </c>
      <c r="D781" s="7">
        <v>1984</v>
      </c>
    </row>
    <row r="782" spans="1:4" ht="12.75">
      <c r="A782" s="27" t="s">
        <v>2151</v>
      </c>
      <c r="B782" s="28">
        <v>57</v>
      </c>
      <c r="C782" s="29" t="str">
        <f>HYPERLINK("https://en.wikipedia.org/wiki/Songs_of_Leonard_Cohen","Songs of Leonard Cohen")</f>
        <v>Songs of Leonard Cohen</v>
      </c>
      <c r="D782" s="27">
        <v>1967</v>
      </c>
    </row>
    <row r="783" spans="1:4" ht="12.75">
      <c r="A783" s="7" t="s">
        <v>2152</v>
      </c>
      <c r="B783" s="8">
        <v>55</v>
      </c>
      <c r="C783" s="9" t="str">
        <f>HYPERLINK("https://en.wikipedia.org/wiki/I%27m_Your_Man_(Leonard_Cohen_album)","I'm Your Man")</f>
        <v>I'm Your Man</v>
      </c>
      <c r="D783" s="7">
        <v>1988</v>
      </c>
    </row>
    <row r="784" spans="1:4" ht="12.75">
      <c r="A784" s="27" t="s">
        <v>2153</v>
      </c>
      <c r="B784" s="28">
        <v>44</v>
      </c>
      <c r="C784" s="29" t="str">
        <f>HYPERLINK("https://en.wikipedia.org/wiki/Songs_of_Leonard_Cohen","Songs of Leonard Cohen")</f>
        <v>Songs of Leonard Cohen</v>
      </c>
      <c r="D784" s="27">
        <v>1967</v>
      </c>
    </row>
    <row r="785" spans="1:4" ht="12.75">
      <c r="A785" s="152"/>
      <c r="B785" s="153"/>
      <c r="C785" s="153"/>
      <c r="D785" s="154"/>
    </row>
    <row r="786" spans="1:4" ht="18">
      <c r="A786" s="22" t="s">
        <v>2154</v>
      </c>
      <c r="B786" s="43">
        <v>44558</v>
      </c>
      <c r="C786" s="24"/>
      <c r="D786" s="24" t="s">
        <v>1</v>
      </c>
    </row>
    <row r="787" spans="1:4" ht="12.75">
      <c r="A787" s="26" t="s">
        <v>2</v>
      </c>
      <c r="B787" s="26" t="s">
        <v>3</v>
      </c>
      <c r="C787" s="26" t="s">
        <v>4</v>
      </c>
      <c r="D787" s="26" t="s">
        <v>5</v>
      </c>
    </row>
    <row r="788" spans="1:4" ht="12.75">
      <c r="A788" s="7" t="s">
        <v>2155</v>
      </c>
      <c r="B788" s="8">
        <v>97</v>
      </c>
      <c r="C788" s="9" t="s">
        <v>2156</v>
      </c>
      <c r="D788" s="7">
        <v>2006</v>
      </c>
    </row>
    <row r="789" spans="1:4" ht="12.75">
      <c r="A789" s="27" t="s">
        <v>2157</v>
      </c>
      <c r="B789" s="28">
        <v>82</v>
      </c>
      <c r="C789" s="29" t="s">
        <v>2154</v>
      </c>
      <c r="D789" s="27">
        <v>2007</v>
      </c>
    </row>
    <row r="790" spans="1:4" ht="12.75">
      <c r="A790" s="7" t="s">
        <v>2158</v>
      </c>
      <c r="B790" s="8">
        <v>74</v>
      </c>
      <c r="C790" s="9" t="s">
        <v>2159</v>
      </c>
      <c r="D790" s="7">
        <v>2010</v>
      </c>
    </row>
    <row r="791" spans="1:4" ht="12.75">
      <c r="A791" s="27" t="s">
        <v>2160</v>
      </c>
      <c r="B791" s="28">
        <v>63</v>
      </c>
      <c r="C791" s="29" t="s">
        <v>2161</v>
      </c>
      <c r="D791" s="27">
        <v>2012</v>
      </c>
    </row>
    <row r="792" spans="1:4" ht="12.75">
      <c r="A792" s="7" t="s">
        <v>2162</v>
      </c>
      <c r="B792" s="8">
        <v>63</v>
      </c>
      <c r="C792" s="9" t="s">
        <v>2163</v>
      </c>
      <c r="D792" s="7">
        <v>2014</v>
      </c>
    </row>
    <row r="793" spans="1:4" ht="12.75">
      <c r="A793" s="27" t="s">
        <v>2164</v>
      </c>
      <c r="B793" s="28">
        <v>38</v>
      </c>
      <c r="C793" s="29" t="s">
        <v>2163</v>
      </c>
      <c r="D793" s="27">
        <v>2014</v>
      </c>
    </row>
    <row r="794" spans="1:4" ht="12.75">
      <c r="A794" s="7" t="s">
        <v>2165</v>
      </c>
      <c r="B794" s="8">
        <v>37</v>
      </c>
      <c r="C794" s="9" t="s">
        <v>2154</v>
      </c>
      <c r="D794" s="7">
        <v>2007</v>
      </c>
    </row>
    <row r="795" spans="1:4" ht="12.75">
      <c r="A795" s="27" t="s">
        <v>2166</v>
      </c>
      <c r="B795" s="28">
        <v>35</v>
      </c>
      <c r="C795" s="29" t="s">
        <v>2167</v>
      </c>
      <c r="D795" s="27">
        <v>2001</v>
      </c>
    </row>
    <row r="796" spans="1:4" ht="12.75">
      <c r="A796" s="7" t="s">
        <v>2168</v>
      </c>
      <c r="B796" s="8">
        <v>34</v>
      </c>
      <c r="C796" s="9" t="s">
        <v>2156</v>
      </c>
      <c r="D796" s="7">
        <v>2006</v>
      </c>
    </row>
    <row r="797" spans="1:4" ht="12.75">
      <c r="A797" s="27" t="s">
        <v>2169</v>
      </c>
      <c r="B797" s="28">
        <v>29</v>
      </c>
      <c r="C797" s="12" t="s">
        <v>2159</v>
      </c>
      <c r="D797" s="10">
        <v>2010</v>
      </c>
    </row>
    <row r="798" spans="1:4" ht="12.75">
      <c r="A798" s="152"/>
      <c r="B798" s="153"/>
      <c r="C798" s="153"/>
      <c r="D798" s="154"/>
    </row>
    <row r="799" spans="1:4" ht="18">
      <c r="A799" s="22" t="str">
        <f>HYPERLINK("https://www.reddit.com/r/indieheads/comments/9kqh8b/top_ten_tuesday_the_libertines/","The Libertines")</f>
        <v>The Libertines</v>
      </c>
      <c r="B799" s="30">
        <v>43375</v>
      </c>
      <c r="C799" s="24"/>
      <c r="D799" s="32" t="s">
        <v>1</v>
      </c>
    </row>
    <row r="800" spans="1:4" ht="12.75">
      <c r="A800" s="26" t="s">
        <v>2</v>
      </c>
      <c r="B800" s="26" t="s">
        <v>3</v>
      </c>
      <c r="C800" s="26" t="s">
        <v>4</v>
      </c>
      <c r="D800" s="26" t="s">
        <v>5</v>
      </c>
    </row>
    <row r="801" spans="1:4" ht="12.75">
      <c r="A801" s="7" t="s">
        <v>2170</v>
      </c>
      <c r="B801" s="8">
        <v>177</v>
      </c>
      <c r="C801" s="9" t="str">
        <f>HYPERLINK("https://en.wikipedia.org/wiki/Up_the_Bracket","Up the Bracket")</f>
        <v>Up the Bracket</v>
      </c>
      <c r="D801" s="7">
        <v>2002</v>
      </c>
    </row>
    <row r="802" spans="1:4" ht="12.75">
      <c r="A802" s="27" t="s">
        <v>2171</v>
      </c>
      <c r="B802" s="28">
        <v>162</v>
      </c>
      <c r="C802" s="29" t="str">
        <f>HYPERLINK("https://en.wikipedia.org/wiki/The_Libertines_(album)","The Libertines")</f>
        <v>The Libertines</v>
      </c>
      <c r="D802" s="27">
        <v>2004</v>
      </c>
    </row>
    <row r="803" spans="1:4" ht="12.75">
      <c r="A803" s="7" t="s">
        <v>2172</v>
      </c>
      <c r="B803" s="8">
        <v>159</v>
      </c>
      <c r="C803" s="9" t="str">
        <f>HYPERLINK("https://en.wikipedia.org/wiki/I_Get_Along_EP","I Get Along EP")</f>
        <v>I Get Along EP</v>
      </c>
      <c r="D803" s="7">
        <v>2003</v>
      </c>
    </row>
    <row r="804" spans="1:4" ht="12.75">
      <c r="A804" s="27" t="s">
        <v>2173</v>
      </c>
      <c r="B804" s="28">
        <v>110</v>
      </c>
      <c r="C804" s="29" t="str">
        <f t="shared" ref="C804:C805" si="45">HYPERLINK("https://en.wikipedia.org/wiki/Up_the_Bracket","Up the Bracket")</f>
        <v>Up the Bracket</v>
      </c>
      <c r="D804" s="27">
        <v>2002</v>
      </c>
    </row>
    <row r="805" spans="1:4" ht="12.75">
      <c r="A805" s="7" t="s">
        <v>2174</v>
      </c>
      <c r="B805" s="8">
        <v>81</v>
      </c>
      <c r="C805" s="9" t="str">
        <f t="shared" si="45"/>
        <v>Up the Bracket</v>
      </c>
      <c r="D805" s="7">
        <v>2002</v>
      </c>
    </row>
    <row r="806" spans="1:4" ht="12.75">
      <c r="A806" s="27" t="s">
        <v>2175</v>
      </c>
      <c r="B806" s="28">
        <v>75</v>
      </c>
      <c r="C806" s="27"/>
      <c r="D806" s="27">
        <v>2002</v>
      </c>
    </row>
    <row r="807" spans="1:4" ht="12.75">
      <c r="A807" s="7" t="s">
        <v>2176</v>
      </c>
      <c r="B807" s="8">
        <v>74</v>
      </c>
      <c r="C807" s="9" t="str">
        <f>HYPERLINK("https://en.wikipedia.org/wiki/Up_the_Bracket","Up the Bracket")</f>
        <v>Up the Bracket</v>
      </c>
      <c r="D807" s="7">
        <v>2002</v>
      </c>
    </row>
    <row r="808" spans="1:4" ht="12.75">
      <c r="A808" s="27" t="s">
        <v>2177</v>
      </c>
      <c r="B808" s="28">
        <v>64</v>
      </c>
      <c r="C808" s="29" t="str">
        <f t="shared" ref="C808:C809" si="46">HYPERLINK("https://en.wikipedia.org/wiki/The_Libertines_(album)","The Libertines")</f>
        <v>The Libertines</v>
      </c>
      <c r="D808" s="27">
        <v>2004</v>
      </c>
    </row>
    <row r="809" spans="1:4" ht="12.75">
      <c r="A809" s="7" t="s">
        <v>2178</v>
      </c>
      <c r="B809" s="8">
        <v>61</v>
      </c>
      <c r="C809" s="9" t="str">
        <f t="shared" si="46"/>
        <v>The Libertines</v>
      </c>
      <c r="D809" s="7">
        <v>2004</v>
      </c>
    </row>
    <row r="810" spans="1:4" ht="12.75">
      <c r="A810" s="27" t="s">
        <v>2179</v>
      </c>
      <c r="B810" s="28">
        <v>59</v>
      </c>
      <c r="C810" s="29" t="str">
        <f>HYPERLINK("https://en.wikipedia.org/wiki/Up_the_Bracket","Up the Bracket")</f>
        <v>Up the Bracket</v>
      </c>
      <c r="D810" s="27">
        <v>2002</v>
      </c>
    </row>
    <row r="811" spans="1:4" ht="12.75">
      <c r="A811" s="152"/>
      <c r="B811" s="153"/>
      <c r="C811" s="153"/>
      <c r="D811" s="154"/>
    </row>
    <row r="812" spans="1:4" ht="23.25" customHeight="1">
      <c r="A812" s="22" t="s">
        <v>2180</v>
      </c>
      <c r="B812" s="30">
        <v>44306</v>
      </c>
      <c r="C812" s="24"/>
      <c r="D812" s="32" t="s">
        <v>1</v>
      </c>
    </row>
    <row r="813" spans="1:4" ht="12.75">
      <c r="A813" s="26" t="s">
        <v>2</v>
      </c>
      <c r="B813" s="26" t="s">
        <v>3</v>
      </c>
      <c r="C813" s="26" t="s">
        <v>4</v>
      </c>
      <c r="D813" s="26" t="s">
        <v>5</v>
      </c>
    </row>
    <row r="814" spans="1:4" ht="12.75">
      <c r="A814" s="7" t="s">
        <v>2181</v>
      </c>
      <c r="B814" s="8">
        <v>87</v>
      </c>
      <c r="C814" s="9" t="s">
        <v>2182</v>
      </c>
      <c r="D814" s="7">
        <v>2005</v>
      </c>
    </row>
    <row r="815" spans="1:4" ht="12.75">
      <c r="A815" s="27" t="s">
        <v>2183</v>
      </c>
      <c r="B815" s="28">
        <v>75</v>
      </c>
      <c r="C815" s="29" t="s">
        <v>2184</v>
      </c>
      <c r="D815" s="27">
        <v>2003</v>
      </c>
    </row>
    <row r="816" spans="1:4" ht="12.75">
      <c r="A816" s="7" t="s">
        <v>2185</v>
      </c>
      <c r="B816" s="8">
        <v>59</v>
      </c>
      <c r="C816" s="9" t="s">
        <v>2184</v>
      </c>
      <c r="D816" s="7">
        <v>2003</v>
      </c>
    </row>
    <row r="817" spans="1:4" ht="12.75">
      <c r="A817" s="27" t="s">
        <v>2186</v>
      </c>
      <c r="B817" s="28">
        <v>58</v>
      </c>
      <c r="C817" s="29" t="s">
        <v>2184</v>
      </c>
      <c r="D817" s="27">
        <v>2003</v>
      </c>
    </row>
    <row r="818" spans="1:4" ht="12.75">
      <c r="A818" s="7" t="s">
        <v>1723</v>
      </c>
      <c r="B818" s="8">
        <v>53</v>
      </c>
      <c r="C818" s="9" t="s">
        <v>2187</v>
      </c>
      <c r="D818" s="7">
        <v>2009</v>
      </c>
    </row>
    <row r="819" spans="1:4" ht="12.75">
      <c r="A819" s="27" t="s">
        <v>2188</v>
      </c>
      <c r="B819" s="28">
        <v>52</v>
      </c>
      <c r="C819" s="29" t="s">
        <v>2182</v>
      </c>
      <c r="D819" s="27">
        <v>2005</v>
      </c>
    </row>
    <row r="820" spans="1:4" ht="12.75">
      <c r="A820" s="7" t="s">
        <v>2189</v>
      </c>
      <c r="B820" s="8">
        <v>46</v>
      </c>
      <c r="C820" s="9" t="s">
        <v>2190</v>
      </c>
      <c r="D820" s="7">
        <v>2015</v>
      </c>
    </row>
    <row r="821" spans="1:4" ht="12.75">
      <c r="A821" s="27" t="s">
        <v>2191</v>
      </c>
      <c r="B821" s="28">
        <v>39</v>
      </c>
      <c r="C821" s="29" t="s">
        <v>2192</v>
      </c>
      <c r="D821" s="27">
        <v>2001</v>
      </c>
    </row>
    <row r="822" spans="1:4" ht="12.75">
      <c r="A822" s="7" t="s">
        <v>2193</v>
      </c>
      <c r="B822" s="8">
        <v>33</v>
      </c>
      <c r="C822" s="9" t="s">
        <v>2192</v>
      </c>
      <c r="D822" s="7">
        <v>2001</v>
      </c>
    </row>
    <row r="823" spans="1:4" ht="12.75">
      <c r="A823" s="27" t="s">
        <v>2194</v>
      </c>
      <c r="B823" s="28">
        <v>30</v>
      </c>
      <c r="C823" s="29" t="s">
        <v>2190</v>
      </c>
      <c r="D823" s="27">
        <v>2015</v>
      </c>
    </row>
    <row r="824" spans="1:4" ht="12.75">
      <c r="A824" s="152"/>
      <c r="B824" s="153"/>
      <c r="C824" s="153"/>
      <c r="D824" s="154"/>
    </row>
    <row r="825" spans="1:4" ht="18">
      <c r="A825" s="22" t="s">
        <v>2195</v>
      </c>
      <c r="B825" s="43">
        <v>44551</v>
      </c>
      <c r="C825" s="31"/>
      <c r="D825" s="32" t="s">
        <v>1</v>
      </c>
    </row>
    <row r="826" spans="1:4" ht="12.75">
      <c r="A826" s="26" t="s">
        <v>2</v>
      </c>
      <c r="B826" s="26" t="s">
        <v>3</v>
      </c>
      <c r="C826" s="26" t="s">
        <v>4</v>
      </c>
      <c r="D826" s="26" t="s">
        <v>5</v>
      </c>
    </row>
    <row r="827" spans="1:4" ht="12.75">
      <c r="A827" s="7" t="s">
        <v>2196</v>
      </c>
      <c r="B827" s="8">
        <v>92</v>
      </c>
      <c r="C827" s="9" t="s">
        <v>2197</v>
      </c>
      <c r="D827" s="7">
        <v>1993</v>
      </c>
    </row>
    <row r="828" spans="1:4" ht="12.75">
      <c r="A828" s="27" t="s">
        <v>2198</v>
      </c>
      <c r="B828" s="28">
        <v>76</v>
      </c>
      <c r="C828" s="12" t="s">
        <v>2197</v>
      </c>
      <c r="D828" s="10">
        <v>1993</v>
      </c>
    </row>
    <row r="829" spans="1:4" ht="12.75">
      <c r="A829" s="7" t="s">
        <v>3977</v>
      </c>
      <c r="B829" s="8">
        <v>70</v>
      </c>
      <c r="C829" s="9" t="s">
        <v>2197</v>
      </c>
      <c r="D829" s="7">
        <v>1993</v>
      </c>
    </row>
    <row r="830" spans="1:4" ht="12.75">
      <c r="A830" s="27" t="s">
        <v>2199</v>
      </c>
      <c r="B830" s="28">
        <v>63</v>
      </c>
      <c r="C830" s="12" t="s">
        <v>2197</v>
      </c>
      <c r="D830" s="10">
        <v>1993</v>
      </c>
    </row>
    <row r="831" spans="1:4" ht="12.75">
      <c r="A831" s="7" t="s">
        <v>2200</v>
      </c>
      <c r="B831" s="8">
        <v>53</v>
      </c>
      <c r="C831" s="9" t="s">
        <v>2197</v>
      </c>
      <c r="D831" s="7">
        <v>1993</v>
      </c>
    </row>
    <row r="832" spans="1:4" ht="12.75">
      <c r="A832" s="27" t="s">
        <v>2201</v>
      </c>
      <c r="B832" s="28">
        <v>52</v>
      </c>
      <c r="C832" s="29" t="s">
        <v>2202</v>
      </c>
      <c r="D832" s="27">
        <v>1998</v>
      </c>
    </row>
    <row r="833" spans="1:4" ht="12.75">
      <c r="A833" s="7" t="s">
        <v>2203</v>
      </c>
      <c r="B833" s="8">
        <v>49</v>
      </c>
      <c r="C833" s="9" t="s">
        <v>2204</v>
      </c>
      <c r="D833" s="7">
        <v>1994</v>
      </c>
    </row>
    <row r="834" spans="1:4" ht="12.75">
      <c r="A834" s="27" t="s">
        <v>2205</v>
      </c>
      <c r="B834" s="28">
        <v>46</v>
      </c>
      <c r="C834" s="27" t="s">
        <v>2206</v>
      </c>
      <c r="D834" s="27">
        <v>1991</v>
      </c>
    </row>
    <row r="835" spans="1:4" ht="12.75">
      <c r="A835" s="7" t="s">
        <v>2207</v>
      </c>
      <c r="B835" s="8">
        <v>43</v>
      </c>
      <c r="C835" s="9" t="s">
        <v>2197</v>
      </c>
      <c r="D835" s="7">
        <v>1993</v>
      </c>
    </row>
    <row r="836" spans="1:4" ht="12.75">
      <c r="A836" s="27" t="s">
        <v>2208</v>
      </c>
      <c r="B836" s="28">
        <v>35</v>
      </c>
      <c r="C836" s="12" t="s">
        <v>2197</v>
      </c>
      <c r="D836" s="10">
        <v>1993</v>
      </c>
    </row>
    <row r="837" spans="1:4" ht="12.75">
      <c r="A837" s="152"/>
      <c r="B837" s="153"/>
      <c r="C837" s="153"/>
      <c r="D837" s="154"/>
    </row>
    <row r="838" spans="1:4" ht="18">
      <c r="A838" s="22" t="str">
        <f>HYPERLINK("https://www.reddit.com/r/indieheads/comments/ei23j6/top_ten_tuesday_local_natives/","Local Natives")</f>
        <v>Local Natives</v>
      </c>
      <c r="B838" s="43">
        <v>43830</v>
      </c>
      <c r="C838" s="24"/>
      <c r="D838" s="32" t="s">
        <v>1</v>
      </c>
    </row>
    <row r="839" spans="1:4" ht="12.75">
      <c r="A839" s="26" t="s">
        <v>2</v>
      </c>
      <c r="B839" s="26" t="s">
        <v>3</v>
      </c>
      <c r="C839" s="26" t="s">
        <v>4</v>
      </c>
      <c r="D839" s="26" t="s">
        <v>5</v>
      </c>
    </row>
    <row r="840" spans="1:4" ht="12.75">
      <c r="A840" s="7" t="s">
        <v>2209</v>
      </c>
      <c r="B840" s="8">
        <v>210</v>
      </c>
      <c r="C840" s="9" t="str">
        <f>HYPERLINK("https://en.wikipedia.org/wiki/Gorilla_Manor","Gorilla Manor")</f>
        <v>Gorilla Manor</v>
      </c>
      <c r="D840" s="7">
        <v>2009</v>
      </c>
    </row>
    <row r="841" spans="1:4" ht="12.75">
      <c r="A841" s="27" t="s">
        <v>2210</v>
      </c>
      <c r="B841" s="28">
        <v>169</v>
      </c>
      <c r="C841" s="29" t="str">
        <f>HYPERLINK("https://en.wikipedia.org/wiki/Violet_Street","Violet Street")</f>
        <v>Violet Street</v>
      </c>
      <c r="D841" s="27">
        <v>2019</v>
      </c>
    </row>
    <row r="842" spans="1:4" ht="12.75">
      <c r="A842" s="7" t="s">
        <v>2211</v>
      </c>
      <c r="B842" s="8">
        <v>146</v>
      </c>
      <c r="C842" s="9" t="str">
        <f>HYPERLINK("https://en.wikipedia.org/wiki/Hummingbird_(Local_Natives_album)","Hummingbird")</f>
        <v>Hummingbird</v>
      </c>
      <c r="D842" s="7">
        <v>2013</v>
      </c>
    </row>
    <row r="843" spans="1:4" ht="12.75">
      <c r="A843" s="27" t="s">
        <v>2212</v>
      </c>
      <c r="B843" s="28">
        <v>128</v>
      </c>
      <c r="C843" s="29" t="str">
        <f>HYPERLINK("https://en.wikipedia.org/wiki/Gorilla_Manor","Gorilla Manor")</f>
        <v>Gorilla Manor</v>
      </c>
      <c r="D843" s="27">
        <v>2009</v>
      </c>
    </row>
    <row r="844" spans="1:4" ht="12.75">
      <c r="A844" s="7" t="s">
        <v>2213</v>
      </c>
      <c r="B844" s="8">
        <v>112</v>
      </c>
      <c r="C844" s="9" t="str">
        <f>HYPERLINK("https://en.wikipedia.org/wiki/Sunlit_Youth","Sunlit Youth")</f>
        <v>Sunlit Youth</v>
      </c>
      <c r="D844" s="7">
        <v>2016</v>
      </c>
    </row>
    <row r="845" spans="1:4" ht="12.75">
      <c r="A845" s="27" t="s">
        <v>2214</v>
      </c>
      <c r="B845" s="28">
        <v>107</v>
      </c>
      <c r="C845" s="29" t="str">
        <f>HYPERLINK("https://en.wikipedia.org/wiki/Hummingbird_(Local_Natives_album)","Hummingbird")</f>
        <v>Hummingbird</v>
      </c>
      <c r="D845" s="27">
        <v>2013</v>
      </c>
    </row>
    <row r="846" spans="1:4" ht="12.75">
      <c r="A846" s="7" t="s">
        <v>2215</v>
      </c>
      <c r="B846" s="8">
        <v>106</v>
      </c>
      <c r="C846" s="9" t="str">
        <f>HYPERLINK("https://en.wikipedia.org/wiki/Gorilla_Manor","Gorilla Manor")</f>
        <v>Gorilla Manor</v>
      </c>
      <c r="D846" s="7">
        <v>2009</v>
      </c>
    </row>
    <row r="847" spans="1:4" ht="12.75">
      <c r="A847" s="27" t="s">
        <v>2216</v>
      </c>
      <c r="B847" s="28">
        <v>104</v>
      </c>
      <c r="C847" s="29" t="str">
        <f>HYPERLINK("https://en.wikipedia.org/wiki/Hummingbird_(Local_Natives_album)","Hummingbird")</f>
        <v>Hummingbird</v>
      </c>
      <c r="D847" s="27">
        <v>2013</v>
      </c>
    </row>
    <row r="848" spans="1:4" ht="12.75">
      <c r="A848" s="7" t="s">
        <v>2217</v>
      </c>
      <c r="B848" s="8">
        <v>96</v>
      </c>
      <c r="C848" s="9" t="str">
        <f>HYPERLINK("https://en.wikipedia.org/wiki/Gorilla_Manor","Gorilla Manor")</f>
        <v>Gorilla Manor</v>
      </c>
      <c r="D848" s="7">
        <v>2009</v>
      </c>
    </row>
    <row r="849" spans="1:4" ht="12.75">
      <c r="A849" s="27" t="s">
        <v>2218</v>
      </c>
      <c r="B849" s="28">
        <v>78</v>
      </c>
      <c r="C849" s="29" t="str">
        <f>HYPERLINK("https://en.wikipedia.org/wiki/Violet_Street","Violet Street")</f>
        <v>Violet Street</v>
      </c>
      <c r="D849" s="27">
        <v>2019</v>
      </c>
    </row>
    <row r="850" spans="1:4" ht="12.75">
      <c r="A850" s="152"/>
      <c r="B850" s="153"/>
      <c r="C850" s="153"/>
      <c r="D850" s="154"/>
    </row>
    <row r="851" spans="1:4" ht="18">
      <c r="A851" s="13" t="s">
        <v>2219</v>
      </c>
      <c r="B851" s="47">
        <v>44880</v>
      </c>
      <c r="C851" s="48"/>
      <c r="D851" s="48"/>
    </row>
    <row r="852" spans="1:4" ht="12.75">
      <c r="A852" s="15" t="s">
        <v>2220</v>
      </c>
      <c r="B852" s="15" t="s">
        <v>3</v>
      </c>
      <c r="C852" s="15" t="s">
        <v>4</v>
      </c>
      <c r="D852" s="15" t="s">
        <v>5</v>
      </c>
    </row>
    <row r="853" spans="1:4" ht="12.75">
      <c r="A853" s="16" t="s">
        <v>2221</v>
      </c>
      <c r="B853" s="16">
        <v>1079</v>
      </c>
      <c r="C853" s="16" t="s">
        <v>2222</v>
      </c>
      <c r="D853" s="16">
        <v>2013</v>
      </c>
    </row>
    <row r="854" spans="1:4" ht="12.75">
      <c r="A854" s="17" t="s">
        <v>2223</v>
      </c>
      <c r="B854" s="17">
        <v>751</v>
      </c>
      <c r="C854" s="17" t="s">
        <v>2224</v>
      </c>
      <c r="D854" s="17">
        <v>2017</v>
      </c>
    </row>
    <row r="855" spans="1:4" ht="12.75">
      <c r="A855" s="16" t="s">
        <v>2225</v>
      </c>
      <c r="B855" s="16">
        <v>724</v>
      </c>
      <c r="C855" s="16" t="s">
        <v>2224</v>
      </c>
      <c r="D855" s="16">
        <v>2017</v>
      </c>
    </row>
    <row r="856" spans="1:4" ht="12.75">
      <c r="A856" s="17" t="s">
        <v>2226</v>
      </c>
      <c r="B856" s="17">
        <v>641</v>
      </c>
      <c r="C856" s="17" t="s">
        <v>2224</v>
      </c>
      <c r="D856" s="17">
        <v>2017</v>
      </c>
    </row>
    <row r="857" spans="1:4" ht="12.75">
      <c r="A857" s="16" t="s">
        <v>2227</v>
      </c>
      <c r="B857" s="16">
        <v>627</v>
      </c>
      <c r="C857" s="16" t="s">
        <v>2224</v>
      </c>
      <c r="D857" s="16">
        <v>2017</v>
      </c>
    </row>
    <row r="858" spans="1:4" ht="12.75">
      <c r="A858" s="17" t="s">
        <v>2228</v>
      </c>
      <c r="B858" s="17">
        <v>547</v>
      </c>
      <c r="C858" s="17" t="s">
        <v>2224</v>
      </c>
      <c r="D858" s="17">
        <v>2017</v>
      </c>
    </row>
    <row r="859" spans="1:4" ht="12.75">
      <c r="A859" s="16" t="s">
        <v>2229</v>
      </c>
      <c r="B859" s="16">
        <v>544</v>
      </c>
      <c r="C859" s="16" t="s">
        <v>2222</v>
      </c>
      <c r="D859" s="16">
        <v>2013</v>
      </c>
    </row>
    <row r="860" spans="1:4" ht="12.75">
      <c r="A860" s="17" t="s">
        <v>2230</v>
      </c>
      <c r="B860" s="17">
        <v>414</v>
      </c>
      <c r="C860" s="17" t="s">
        <v>2222</v>
      </c>
      <c r="D860" s="17">
        <v>2013</v>
      </c>
    </row>
    <row r="861" spans="1:4" ht="12.75">
      <c r="A861" s="16" t="s">
        <v>2231</v>
      </c>
      <c r="B861" s="16">
        <v>394</v>
      </c>
      <c r="C861" s="16" t="s">
        <v>2224</v>
      </c>
      <c r="D861" s="16">
        <v>2017</v>
      </c>
    </row>
    <row r="862" spans="1:4" ht="12.75">
      <c r="A862" s="17" t="s">
        <v>2232</v>
      </c>
      <c r="B862" s="17">
        <v>345</v>
      </c>
      <c r="C862" s="17" t="s">
        <v>2222</v>
      </c>
      <c r="D862" s="17">
        <v>2013</v>
      </c>
    </row>
    <row r="863" spans="1:4" ht="12.75">
      <c r="A863" s="155"/>
      <c r="B863" s="156"/>
      <c r="C863" s="156"/>
      <c r="D863" s="156"/>
    </row>
    <row r="864" spans="1:4" ht="18">
      <c r="A864" s="22" t="str">
        <f>HYPERLINK("https://www.reddit.com/r/indieheads/comments/91i9ee/top_ten_tuesday_los_campesinos/","Los Campesinos!")</f>
        <v>Los Campesinos!</v>
      </c>
      <c r="B864" s="30">
        <v>43305</v>
      </c>
      <c r="C864" s="24"/>
      <c r="D864" s="32" t="s">
        <v>1</v>
      </c>
    </row>
    <row r="865" spans="1:4" ht="12.75">
      <c r="A865" s="26" t="s">
        <v>2</v>
      </c>
      <c r="B865" s="26" t="s">
        <v>3</v>
      </c>
      <c r="C865" s="26" t="s">
        <v>4</v>
      </c>
      <c r="D865" s="26" t="s">
        <v>5</v>
      </c>
    </row>
    <row r="866" spans="1:4" ht="12.75">
      <c r="A866" s="7" t="s">
        <v>2233</v>
      </c>
      <c r="B866" s="8">
        <v>176</v>
      </c>
      <c r="C866" s="9" t="str">
        <f>HYPERLINK("https://en.wikipedia.org/wiki/We_Are_Beautiful,_We_Are_Doomed","We Are Beautiful, We Are Doomed")</f>
        <v>We Are Beautiful, We Are Doomed</v>
      </c>
      <c r="D866" s="7">
        <v>2008</v>
      </c>
    </row>
    <row r="867" spans="1:4" ht="12.75">
      <c r="A867" s="27" t="s">
        <v>2234</v>
      </c>
      <c r="B867" s="28">
        <v>170</v>
      </c>
      <c r="C867" s="29" t="str">
        <f>HYPERLINK("https://en.wikipedia.org/wiki/Romance_Is_Boring","Romance is Boring")</f>
        <v>Romance is Boring</v>
      </c>
      <c r="D867" s="27">
        <v>2010</v>
      </c>
    </row>
    <row r="868" spans="1:4" ht="12.75">
      <c r="A868" s="7" t="s">
        <v>2235</v>
      </c>
      <c r="B868" s="8">
        <v>126</v>
      </c>
      <c r="C868" s="9" t="str">
        <f>HYPERLINK("https://en.wikipedia.org/wiki/Hold_on_Now,_Youngster...","Hold on Now, Youngster...")</f>
        <v>Hold on Now, Youngster...</v>
      </c>
      <c r="D868" s="7">
        <v>2008</v>
      </c>
    </row>
    <row r="869" spans="1:4" ht="12.75">
      <c r="A869" s="27" t="s">
        <v>2236</v>
      </c>
      <c r="B869" s="28">
        <v>97</v>
      </c>
      <c r="C869" s="29" t="str">
        <f>HYPERLINK("https://en.wikipedia.org/wiki/Romance_Is_Boring","Romance is Boring")</f>
        <v>Romance is Boring</v>
      </c>
      <c r="D869" s="27">
        <v>2010</v>
      </c>
    </row>
    <row r="870" spans="1:4" ht="12.75">
      <c r="A870" s="7" t="s">
        <v>2237</v>
      </c>
      <c r="B870" s="8">
        <v>96</v>
      </c>
      <c r="C870" s="9" t="str">
        <f t="shared" ref="C870:C871" si="47">HYPERLINK("https://en.wikipedia.org/wiki/Hold_on_Now,_Youngster...","Hold on Now, Youngster...")</f>
        <v>Hold on Now, Youngster...</v>
      </c>
      <c r="D870" s="7">
        <v>2008</v>
      </c>
    </row>
    <row r="871" spans="1:4" ht="12.75">
      <c r="A871" s="27" t="s">
        <v>2238</v>
      </c>
      <c r="B871" s="28">
        <v>93</v>
      </c>
      <c r="C871" s="29" t="str">
        <f t="shared" si="47"/>
        <v>Hold on Now, Youngster...</v>
      </c>
      <c r="D871" s="27">
        <v>2008</v>
      </c>
    </row>
    <row r="872" spans="1:4" ht="12.75">
      <c r="A872" s="7" t="s">
        <v>2239</v>
      </c>
      <c r="B872" s="8">
        <v>93</v>
      </c>
      <c r="C872" s="9" t="str">
        <f t="shared" ref="C872:C873" si="48">HYPERLINK("https://en.wikipedia.org/wiki/Romance_Is_Boring","Romance is Boring")</f>
        <v>Romance is Boring</v>
      </c>
      <c r="D872" s="7">
        <v>2010</v>
      </c>
    </row>
    <row r="873" spans="1:4" ht="12.75">
      <c r="A873" s="27" t="s">
        <v>2240</v>
      </c>
      <c r="B873" s="28">
        <v>92</v>
      </c>
      <c r="C873" s="29" t="str">
        <f t="shared" si="48"/>
        <v>Romance is Boring</v>
      </c>
      <c r="D873" s="27">
        <v>2010</v>
      </c>
    </row>
    <row r="874" spans="1:4" ht="12.75">
      <c r="A874" s="7" t="s">
        <v>2241</v>
      </c>
      <c r="B874" s="8">
        <v>89</v>
      </c>
      <c r="C874" s="9" t="str">
        <f>HYPERLINK("https://en.wikipedia.org/wiki/No_Blues","No Blues")</f>
        <v>No Blues</v>
      </c>
      <c r="D874" s="7">
        <v>2011</v>
      </c>
    </row>
    <row r="875" spans="1:4" ht="12.75">
      <c r="A875" s="27" t="s">
        <v>2242</v>
      </c>
      <c r="B875" s="28">
        <v>88</v>
      </c>
      <c r="C875" s="29" t="str">
        <f>HYPERLINK("https://en.wikipedia.org/wiki/We_Are_Beautiful,_We_Are_Doomed","We Are Beautiful, We Are Doomed")</f>
        <v>We Are Beautiful, We Are Doomed</v>
      </c>
      <c r="D875" s="27">
        <v>2008</v>
      </c>
    </row>
    <row r="876" spans="1:4" ht="12.75">
      <c r="A876" s="152"/>
      <c r="B876" s="153"/>
      <c r="C876" s="153"/>
      <c r="D876" s="154"/>
    </row>
    <row r="877" spans="1:4" ht="18">
      <c r="A877" s="92" t="s">
        <v>2243</v>
      </c>
      <c r="B877" s="73">
        <v>44817</v>
      </c>
      <c r="C877" s="74"/>
      <c r="D877" s="93" t="s">
        <v>1</v>
      </c>
    </row>
    <row r="878" spans="1:4" ht="12.75">
      <c r="A878" s="94" t="s">
        <v>2</v>
      </c>
      <c r="B878" s="95" t="s">
        <v>3</v>
      </c>
      <c r="C878" s="96" t="s">
        <v>4</v>
      </c>
      <c r="D878" s="96" t="s">
        <v>5</v>
      </c>
    </row>
    <row r="879" spans="1:4" ht="12.75">
      <c r="A879" s="97" t="s">
        <v>2244</v>
      </c>
      <c r="B879" s="8">
        <v>181</v>
      </c>
      <c r="C879" s="98" t="s">
        <v>2244</v>
      </c>
      <c r="D879" s="7">
        <v>1978</v>
      </c>
    </row>
    <row r="880" spans="1:4" ht="12.75">
      <c r="A880" s="99" t="s">
        <v>2245</v>
      </c>
      <c r="B880" s="28">
        <v>149</v>
      </c>
      <c r="C880" s="100" t="s">
        <v>2246</v>
      </c>
      <c r="D880" s="27">
        <v>1972</v>
      </c>
    </row>
    <row r="881" spans="1:4" ht="12.75">
      <c r="A881" s="97" t="s">
        <v>2247</v>
      </c>
      <c r="B881" s="8">
        <v>149</v>
      </c>
      <c r="C881" s="98" t="s">
        <v>2246</v>
      </c>
      <c r="D881" s="7">
        <v>1972</v>
      </c>
    </row>
    <row r="882" spans="1:4" ht="12.75">
      <c r="A882" s="99" t="s">
        <v>2248</v>
      </c>
      <c r="B882" s="28">
        <v>130</v>
      </c>
      <c r="C882" s="100" t="s">
        <v>2246</v>
      </c>
      <c r="D882" s="27">
        <v>1972</v>
      </c>
    </row>
    <row r="883" spans="1:4" ht="12.75">
      <c r="A883" s="97" t="s">
        <v>2249</v>
      </c>
      <c r="B883" s="8">
        <v>110</v>
      </c>
      <c r="C883" s="98" t="s">
        <v>2246</v>
      </c>
      <c r="D883" s="7">
        <v>1972</v>
      </c>
    </row>
    <row r="884" spans="1:4" ht="12.75">
      <c r="A884" s="99" t="s">
        <v>2250</v>
      </c>
      <c r="B884" s="28">
        <v>110</v>
      </c>
      <c r="C884" s="100" t="s">
        <v>2250</v>
      </c>
      <c r="D884" s="27">
        <v>1976</v>
      </c>
    </row>
    <row r="885" spans="1:4" ht="12.75">
      <c r="A885" s="97" t="s">
        <v>2251</v>
      </c>
      <c r="B885" s="8">
        <v>67</v>
      </c>
      <c r="C885" s="98" t="s">
        <v>2252</v>
      </c>
      <c r="D885" s="7">
        <v>1989</v>
      </c>
    </row>
    <row r="886" spans="1:4" ht="12.75">
      <c r="A886" s="99" t="s">
        <v>2253</v>
      </c>
      <c r="B886" s="28">
        <v>42</v>
      </c>
      <c r="C886" s="100" t="s">
        <v>2252</v>
      </c>
      <c r="D886" s="27">
        <v>1989</v>
      </c>
    </row>
    <row r="887" spans="1:4" ht="12.75">
      <c r="A887" s="97" t="s">
        <v>2254</v>
      </c>
      <c r="B887" s="8">
        <v>40</v>
      </c>
      <c r="C887" s="98" t="s">
        <v>2255</v>
      </c>
      <c r="D887" s="7">
        <v>1974</v>
      </c>
    </row>
    <row r="888" spans="1:4" ht="12.75">
      <c r="A888" s="99" t="s">
        <v>2256</v>
      </c>
      <c r="B888" s="28">
        <v>37</v>
      </c>
      <c r="C888" s="100" t="s">
        <v>2257</v>
      </c>
      <c r="D888" s="27">
        <v>1973</v>
      </c>
    </row>
    <row r="889" spans="1:4" ht="18">
      <c r="A889" s="160"/>
      <c r="B889" s="153"/>
      <c r="C889" s="153"/>
      <c r="D889" s="154"/>
    </row>
    <row r="890" spans="1:4" ht="18">
      <c r="A890" s="22" t="str">
        <f>HYPERLINK("https://www.reddit.com/r/indieheads/comments/bzbixd/top_ten_tuesday_low/","Low")</f>
        <v>Low</v>
      </c>
      <c r="B890" s="30">
        <v>43627</v>
      </c>
      <c r="C890" s="24"/>
      <c r="D890" s="32" t="s">
        <v>1</v>
      </c>
    </row>
    <row r="891" spans="1:4" ht="12.75">
      <c r="A891" s="26" t="s">
        <v>2</v>
      </c>
      <c r="B891" s="26" t="s">
        <v>3</v>
      </c>
      <c r="C891" s="26" t="s">
        <v>4</v>
      </c>
      <c r="D891" s="26" t="s">
        <v>5</v>
      </c>
    </row>
    <row r="892" spans="1:4" ht="12.75">
      <c r="A892" s="7" t="s">
        <v>2258</v>
      </c>
      <c r="B892" s="8">
        <v>50</v>
      </c>
      <c r="C892" s="9" t="str">
        <f t="shared" ref="C892:C893" si="49">HYPERLINK("https://en.wikipedia.org/wiki/Ones_and_Sixes","Ones and Sixes")</f>
        <v>Ones and Sixes</v>
      </c>
      <c r="D892" s="7">
        <v>2015</v>
      </c>
    </row>
    <row r="893" spans="1:4" ht="12.75">
      <c r="A893" s="27" t="s">
        <v>2259</v>
      </c>
      <c r="B893" s="28">
        <v>47</v>
      </c>
      <c r="C893" s="29" t="str">
        <f t="shared" si="49"/>
        <v>Ones and Sixes</v>
      </c>
      <c r="D893" s="27">
        <v>2015</v>
      </c>
    </row>
    <row r="894" spans="1:4" ht="12.75">
      <c r="A894" s="7" t="s">
        <v>872</v>
      </c>
      <c r="B894" s="8">
        <v>45</v>
      </c>
      <c r="C894" s="9" t="str">
        <f t="shared" ref="C894:C895" si="50">HYPERLINK("https://en.wikipedia.org/wiki/I_Could_Live_in_Hope","I Could Live in Hope")</f>
        <v>I Could Live in Hope</v>
      </c>
      <c r="D894" s="7">
        <v>1994</v>
      </c>
    </row>
    <row r="895" spans="1:4" ht="12.75">
      <c r="A895" s="27" t="s">
        <v>2260</v>
      </c>
      <c r="B895" s="28">
        <v>43</v>
      </c>
      <c r="C895" s="29" t="str">
        <f t="shared" si="50"/>
        <v>I Could Live in Hope</v>
      </c>
      <c r="D895" s="27">
        <v>1994</v>
      </c>
    </row>
    <row r="896" spans="1:4" ht="12.75">
      <c r="A896" s="7" t="s">
        <v>2261</v>
      </c>
      <c r="B896" s="8">
        <v>43</v>
      </c>
      <c r="C896" s="9" t="str">
        <f>HYPERLINK("https://en.wikipedia.org/wiki/Double_Negative_(album)","Double Negative")</f>
        <v>Double Negative</v>
      </c>
      <c r="D896" s="7">
        <v>2018</v>
      </c>
    </row>
    <row r="897" spans="1:4" ht="12.75">
      <c r="A897" s="27" t="s">
        <v>2262</v>
      </c>
      <c r="B897" s="28">
        <v>38</v>
      </c>
      <c r="C897" s="29" t="str">
        <f>HYPERLINK("https://en.wikipedia.org/wiki/The_Curtain_Hits_the_Cast","The Curtain Hits the Cast")</f>
        <v>The Curtain Hits the Cast</v>
      </c>
      <c r="D897" s="27">
        <v>1996</v>
      </c>
    </row>
    <row r="898" spans="1:4" ht="12.75">
      <c r="A898" s="7" t="s">
        <v>2263</v>
      </c>
      <c r="B898" s="8">
        <v>33</v>
      </c>
      <c r="C898" s="9" t="str">
        <f t="shared" ref="C898:C899" si="51">HYPERLINK("https://en.wikipedia.org/wiki/Double_Negative_(album)","Double Negative")</f>
        <v>Double Negative</v>
      </c>
      <c r="D898" s="7">
        <v>2018</v>
      </c>
    </row>
    <row r="899" spans="1:4" ht="12.75">
      <c r="A899" s="27" t="s">
        <v>2264</v>
      </c>
      <c r="B899" s="28">
        <v>32</v>
      </c>
      <c r="C899" s="29" t="str">
        <f t="shared" si="51"/>
        <v>Double Negative</v>
      </c>
      <c r="D899" s="27">
        <v>2018</v>
      </c>
    </row>
    <row r="900" spans="1:4" ht="12.75">
      <c r="A900" s="7" t="s">
        <v>2265</v>
      </c>
      <c r="B900" s="8">
        <v>30</v>
      </c>
      <c r="C900" s="9" t="str">
        <f>HYPERLINK("https://en.wikipedia.org/wiki/C%27mon_(Low_album)","C'mon")</f>
        <v>C'mon</v>
      </c>
      <c r="D900" s="7">
        <v>2011</v>
      </c>
    </row>
    <row r="901" spans="1:4" ht="12.75">
      <c r="A901" s="27" t="s">
        <v>2266</v>
      </c>
      <c r="B901" s="28">
        <v>30</v>
      </c>
      <c r="C901" s="29" t="str">
        <f>HYPERLINK("https://en.wikipedia.org/wiki/Drums_and_Guns","Drums and Guns")</f>
        <v>Drums and Guns</v>
      </c>
      <c r="D901" s="27">
        <v>2007</v>
      </c>
    </row>
    <row r="902" spans="1:4" ht="12.75">
      <c r="A902" s="152"/>
      <c r="B902" s="153"/>
      <c r="C902" s="153"/>
      <c r="D902" s="154"/>
    </row>
    <row r="903" spans="1:4" ht="18">
      <c r="A903" s="22" t="s">
        <v>2267</v>
      </c>
      <c r="B903" s="43">
        <v>44663</v>
      </c>
      <c r="C903" s="24"/>
      <c r="D903" s="32" t="s">
        <v>1</v>
      </c>
    </row>
    <row r="904" spans="1:4" ht="12.75">
      <c r="A904" s="26" t="s">
        <v>2</v>
      </c>
      <c r="B904" s="26" t="s">
        <v>3</v>
      </c>
      <c r="C904" s="26" t="s">
        <v>4</v>
      </c>
      <c r="D904" s="26" t="s">
        <v>5</v>
      </c>
    </row>
    <row r="905" spans="1:4" ht="12.75">
      <c r="A905" s="7" t="s">
        <v>2268</v>
      </c>
      <c r="B905" s="8">
        <v>429</v>
      </c>
      <c r="C905" s="9" t="s">
        <v>2269</v>
      </c>
      <c r="D905" s="7">
        <v>2018</v>
      </c>
    </row>
    <row r="906" spans="1:4" ht="12.75">
      <c r="A906" s="27" t="s">
        <v>2270</v>
      </c>
      <c r="B906" s="28">
        <v>213</v>
      </c>
      <c r="C906" s="12" t="s">
        <v>2271</v>
      </c>
      <c r="D906" s="10">
        <v>2021</v>
      </c>
    </row>
    <row r="907" spans="1:4" ht="12.75">
      <c r="A907" s="7" t="s">
        <v>2272</v>
      </c>
      <c r="B907" s="8">
        <v>175</v>
      </c>
      <c r="C907" s="9" t="s">
        <v>2273</v>
      </c>
      <c r="D907" s="7">
        <v>2016</v>
      </c>
    </row>
    <row r="908" spans="1:4" ht="12.75">
      <c r="A908" s="27" t="s">
        <v>2274</v>
      </c>
      <c r="B908" s="28">
        <v>160</v>
      </c>
      <c r="C908" s="12" t="s">
        <v>2269</v>
      </c>
      <c r="D908" s="10">
        <v>2018</v>
      </c>
    </row>
    <row r="909" spans="1:4" ht="12.75">
      <c r="A909" s="7" t="s">
        <v>2275</v>
      </c>
      <c r="B909" s="8">
        <v>151</v>
      </c>
      <c r="C909" s="9" t="s">
        <v>2271</v>
      </c>
      <c r="D909" s="7">
        <v>2021</v>
      </c>
    </row>
    <row r="910" spans="1:4" ht="12.75">
      <c r="A910" s="27" t="s">
        <v>2276</v>
      </c>
      <c r="B910" s="28">
        <v>151</v>
      </c>
      <c r="C910" s="12" t="s">
        <v>2271</v>
      </c>
      <c r="D910" s="10">
        <v>2021</v>
      </c>
    </row>
    <row r="911" spans="1:4" ht="12.75">
      <c r="A911" s="7" t="s">
        <v>2277</v>
      </c>
      <c r="B911" s="8">
        <v>150</v>
      </c>
      <c r="C911" s="9" t="s">
        <v>2271</v>
      </c>
      <c r="D911" s="7">
        <v>2021</v>
      </c>
    </row>
    <row r="912" spans="1:4" ht="12.75">
      <c r="A912" s="27" t="s">
        <v>2278</v>
      </c>
      <c r="B912" s="28">
        <v>135</v>
      </c>
      <c r="C912" s="12" t="s">
        <v>2271</v>
      </c>
      <c r="D912" s="10">
        <v>2021</v>
      </c>
    </row>
    <row r="913" spans="1:4" ht="12.75">
      <c r="A913" s="7" t="s">
        <v>2279</v>
      </c>
      <c r="B913" s="8">
        <v>125</v>
      </c>
      <c r="C913" s="9" t="s">
        <v>2269</v>
      </c>
      <c r="D913" s="7">
        <v>2018</v>
      </c>
    </row>
    <row r="914" spans="1:4" ht="12.75">
      <c r="A914" s="152"/>
      <c r="B914" s="153"/>
      <c r="C914" s="153"/>
      <c r="D914" s="154"/>
    </row>
  </sheetData>
  <mergeCells count="70">
    <mergeCell ref="A603:D603"/>
    <mergeCell ref="A616:D616"/>
    <mergeCell ref="A629:D629"/>
    <mergeCell ref="A538:D538"/>
    <mergeCell ref="A551:D551"/>
    <mergeCell ref="A564:D564"/>
    <mergeCell ref="A577:D577"/>
    <mergeCell ref="A590:D590"/>
    <mergeCell ref="A460:D460"/>
    <mergeCell ref="A473:D473"/>
    <mergeCell ref="A486:D486"/>
    <mergeCell ref="A499:D499"/>
    <mergeCell ref="A512:D512"/>
    <mergeCell ref="A395:D395"/>
    <mergeCell ref="A408:D408"/>
    <mergeCell ref="A421:D421"/>
    <mergeCell ref="A434:D434"/>
    <mergeCell ref="A447:D447"/>
    <mergeCell ref="A329:D329"/>
    <mergeCell ref="A342:D342"/>
    <mergeCell ref="A355:D355"/>
    <mergeCell ref="A369:D369"/>
    <mergeCell ref="A382:D382"/>
    <mergeCell ref="A264:D264"/>
    <mergeCell ref="A277:D277"/>
    <mergeCell ref="A290:D290"/>
    <mergeCell ref="A303:D303"/>
    <mergeCell ref="A316:D316"/>
    <mergeCell ref="A199:D199"/>
    <mergeCell ref="A212:D212"/>
    <mergeCell ref="A225:D225"/>
    <mergeCell ref="A238:D238"/>
    <mergeCell ref="A251:D251"/>
    <mergeCell ref="A134:D134"/>
    <mergeCell ref="A147:D147"/>
    <mergeCell ref="A160:D160"/>
    <mergeCell ref="A173:D173"/>
    <mergeCell ref="A186:D186"/>
    <mergeCell ref="A66:D66"/>
    <mergeCell ref="A82:D82"/>
    <mergeCell ref="A95:D95"/>
    <mergeCell ref="A108:D108"/>
    <mergeCell ref="A121:D121"/>
    <mergeCell ref="A1:D1"/>
    <mergeCell ref="A14:D14"/>
    <mergeCell ref="A27:D27"/>
    <mergeCell ref="A40:D40"/>
    <mergeCell ref="A53:D53"/>
    <mergeCell ref="A863:D863"/>
    <mergeCell ref="A876:D876"/>
    <mergeCell ref="A889:D889"/>
    <mergeCell ref="A902:D902"/>
    <mergeCell ref="A914:D914"/>
    <mergeCell ref="A707:D707"/>
    <mergeCell ref="A720:D720"/>
    <mergeCell ref="A824:D824"/>
    <mergeCell ref="A837:D837"/>
    <mergeCell ref="A850:D850"/>
    <mergeCell ref="A733:D733"/>
    <mergeCell ref="A746:D746"/>
    <mergeCell ref="A759:D759"/>
    <mergeCell ref="A772:D772"/>
    <mergeCell ref="A785:D785"/>
    <mergeCell ref="A798:D798"/>
    <mergeCell ref="A811:D811"/>
    <mergeCell ref="A642:D642"/>
    <mergeCell ref="A655:D655"/>
    <mergeCell ref="A668:D668"/>
    <mergeCell ref="A681:D681"/>
    <mergeCell ref="A694:D694"/>
  </mergeCells>
  <hyperlinks>
    <hyperlink ref="D15" r:id="rId1" xr:uid="{00000000-0004-0000-0200-000000000000}"/>
    <hyperlink ref="A28" r:id="rId2" xr:uid="{00000000-0004-0000-0200-000001000000}"/>
    <hyperlink ref="D41" r:id="rId3" xr:uid="{00000000-0004-0000-0200-000002000000}"/>
    <hyperlink ref="A54" r:id="rId4" xr:uid="{00000000-0004-0000-0200-000003000000}"/>
    <hyperlink ref="D54" r:id="rId5" xr:uid="{00000000-0004-0000-0200-000004000000}"/>
    <hyperlink ref="C56" r:id="rId6" xr:uid="{00000000-0004-0000-0200-000005000000}"/>
    <hyperlink ref="C57" r:id="rId7" xr:uid="{00000000-0004-0000-0200-000006000000}"/>
    <hyperlink ref="C58" r:id="rId8" xr:uid="{00000000-0004-0000-0200-000007000000}"/>
    <hyperlink ref="C59" r:id="rId9" xr:uid="{00000000-0004-0000-0200-000008000000}"/>
    <hyperlink ref="C60" r:id="rId10" xr:uid="{00000000-0004-0000-0200-000009000000}"/>
    <hyperlink ref="C61" r:id="rId11" xr:uid="{00000000-0004-0000-0200-00000A000000}"/>
    <hyperlink ref="C62" r:id="rId12" xr:uid="{00000000-0004-0000-0200-00000B000000}"/>
    <hyperlink ref="C63" r:id="rId13" xr:uid="{00000000-0004-0000-0200-00000C000000}"/>
    <hyperlink ref="C64" r:id="rId14" xr:uid="{00000000-0004-0000-0200-00000D000000}"/>
    <hyperlink ref="C65" r:id="rId15" xr:uid="{00000000-0004-0000-0200-00000E000000}"/>
    <hyperlink ref="A67" r:id="rId16" xr:uid="{00000000-0004-0000-0200-00000F000000}"/>
    <hyperlink ref="A83" r:id="rId17" xr:uid="{00000000-0004-0000-0200-000010000000}"/>
    <hyperlink ref="C85" r:id="rId18" xr:uid="{00000000-0004-0000-0200-000011000000}"/>
    <hyperlink ref="C86" r:id="rId19" xr:uid="{00000000-0004-0000-0200-000012000000}"/>
    <hyperlink ref="C87" r:id="rId20" xr:uid="{00000000-0004-0000-0200-000013000000}"/>
    <hyperlink ref="C88" r:id="rId21" xr:uid="{00000000-0004-0000-0200-000014000000}"/>
    <hyperlink ref="C89" r:id="rId22" xr:uid="{00000000-0004-0000-0200-000015000000}"/>
    <hyperlink ref="C90" r:id="rId23" xr:uid="{00000000-0004-0000-0200-000016000000}"/>
    <hyperlink ref="C91" r:id="rId24" xr:uid="{00000000-0004-0000-0200-000017000000}"/>
    <hyperlink ref="C92" r:id="rId25" xr:uid="{00000000-0004-0000-0200-000018000000}"/>
    <hyperlink ref="C93" r:id="rId26" xr:uid="{00000000-0004-0000-0200-000019000000}"/>
    <hyperlink ref="C94" r:id="rId27" xr:uid="{00000000-0004-0000-0200-00001A000000}"/>
    <hyperlink ref="D96" r:id="rId28" xr:uid="{00000000-0004-0000-0200-00001B000000}"/>
    <hyperlink ref="D122" r:id="rId29" xr:uid="{00000000-0004-0000-0200-00001C000000}"/>
    <hyperlink ref="A135" r:id="rId30" xr:uid="{00000000-0004-0000-0200-00001D000000}"/>
    <hyperlink ref="A174" r:id="rId31" xr:uid="{00000000-0004-0000-0200-00001E000000}"/>
    <hyperlink ref="D174" r:id="rId32" xr:uid="{00000000-0004-0000-0200-00001F000000}"/>
    <hyperlink ref="C176" r:id="rId33" xr:uid="{00000000-0004-0000-0200-000020000000}"/>
    <hyperlink ref="C178" r:id="rId34" xr:uid="{00000000-0004-0000-0200-000021000000}"/>
    <hyperlink ref="C179" r:id="rId35" xr:uid="{00000000-0004-0000-0200-000022000000}"/>
    <hyperlink ref="C180" r:id="rId36" xr:uid="{00000000-0004-0000-0200-000023000000}"/>
    <hyperlink ref="C181" r:id="rId37" xr:uid="{00000000-0004-0000-0200-000024000000}"/>
    <hyperlink ref="C182" r:id="rId38" xr:uid="{00000000-0004-0000-0200-000025000000}"/>
    <hyperlink ref="C183" r:id="rId39" xr:uid="{00000000-0004-0000-0200-000026000000}"/>
    <hyperlink ref="C184" r:id="rId40" xr:uid="{00000000-0004-0000-0200-000027000000}"/>
    <hyperlink ref="C185" r:id="rId41" xr:uid="{00000000-0004-0000-0200-000028000000}"/>
    <hyperlink ref="A200" r:id="rId42" xr:uid="{00000000-0004-0000-0200-000029000000}"/>
    <hyperlink ref="D200" r:id="rId43" xr:uid="{00000000-0004-0000-0200-00002A000000}"/>
    <hyperlink ref="C202" r:id="rId44" xr:uid="{00000000-0004-0000-0200-00002B000000}"/>
    <hyperlink ref="C203" r:id="rId45" xr:uid="{00000000-0004-0000-0200-00002C000000}"/>
    <hyperlink ref="C204" r:id="rId46" xr:uid="{00000000-0004-0000-0200-00002D000000}"/>
    <hyperlink ref="C205" r:id="rId47" xr:uid="{00000000-0004-0000-0200-00002E000000}"/>
    <hyperlink ref="C206" r:id="rId48" xr:uid="{00000000-0004-0000-0200-00002F000000}"/>
    <hyperlink ref="C207" r:id="rId49" xr:uid="{00000000-0004-0000-0200-000030000000}"/>
    <hyperlink ref="C208" r:id="rId50" xr:uid="{00000000-0004-0000-0200-000031000000}"/>
    <hyperlink ref="C209" r:id="rId51" xr:uid="{00000000-0004-0000-0200-000032000000}"/>
    <hyperlink ref="C210" r:id="rId52" xr:uid="{00000000-0004-0000-0200-000033000000}"/>
    <hyperlink ref="C211" r:id="rId53" xr:uid="{00000000-0004-0000-0200-000034000000}"/>
    <hyperlink ref="A213" r:id="rId54" xr:uid="{00000000-0004-0000-0200-000035000000}"/>
    <hyperlink ref="D213" r:id="rId55" xr:uid="{00000000-0004-0000-0200-000036000000}"/>
    <hyperlink ref="C215" r:id="rId56" xr:uid="{00000000-0004-0000-0200-000037000000}"/>
    <hyperlink ref="C216" r:id="rId57" xr:uid="{00000000-0004-0000-0200-000038000000}"/>
    <hyperlink ref="C217" r:id="rId58" xr:uid="{00000000-0004-0000-0200-000039000000}"/>
    <hyperlink ref="C218" r:id="rId59" xr:uid="{00000000-0004-0000-0200-00003A000000}"/>
    <hyperlink ref="C219" r:id="rId60" xr:uid="{00000000-0004-0000-0200-00003B000000}"/>
    <hyperlink ref="C220" r:id="rId61" xr:uid="{00000000-0004-0000-0200-00003C000000}"/>
    <hyperlink ref="C221" r:id="rId62" xr:uid="{00000000-0004-0000-0200-00003D000000}"/>
    <hyperlink ref="C222" r:id="rId63" xr:uid="{00000000-0004-0000-0200-00003E000000}"/>
    <hyperlink ref="C223" r:id="rId64" xr:uid="{00000000-0004-0000-0200-00003F000000}"/>
    <hyperlink ref="C224" r:id="rId65" xr:uid="{00000000-0004-0000-0200-000040000000}"/>
    <hyperlink ref="D226" r:id="rId66" xr:uid="{00000000-0004-0000-0200-000041000000}"/>
    <hyperlink ref="D239" r:id="rId67" xr:uid="{00000000-0004-0000-0200-000042000000}"/>
    <hyperlink ref="A265" r:id="rId68" xr:uid="{00000000-0004-0000-0200-000043000000}"/>
    <hyperlink ref="D265" r:id="rId69" xr:uid="{00000000-0004-0000-0200-000044000000}"/>
    <hyperlink ref="A278" r:id="rId70" xr:uid="{00000000-0004-0000-0200-000045000000}"/>
    <hyperlink ref="D278" r:id="rId71" xr:uid="{00000000-0004-0000-0200-000046000000}"/>
    <hyperlink ref="C280" r:id="rId72" xr:uid="{00000000-0004-0000-0200-000047000000}"/>
    <hyperlink ref="C281" r:id="rId73" xr:uid="{00000000-0004-0000-0200-000048000000}"/>
    <hyperlink ref="C282" r:id="rId74" xr:uid="{00000000-0004-0000-0200-000049000000}"/>
    <hyperlink ref="C283" r:id="rId75" xr:uid="{00000000-0004-0000-0200-00004A000000}"/>
    <hyperlink ref="C284" r:id="rId76" xr:uid="{00000000-0004-0000-0200-00004B000000}"/>
    <hyperlink ref="C285" r:id="rId77" xr:uid="{00000000-0004-0000-0200-00004C000000}"/>
    <hyperlink ref="C286" r:id="rId78" xr:uid="{00000000-0004-0000-0200-00004D000000}"/>
    <hyperlink ref="C287" r:id="rId79" xr:uid="{00000000-0004-0000-0200-00004E000000}"/>
    <hyperlink ref="C288" r:id="rId80" xr:uid="{00000000-0004-0000-0200-00004F000000}"/>
    <hyperlink ref="C289" r:id="rId81" xr:uid="{00000000-0004-0000-0200-000050000000}"/>
    <hyperlink ref="A291" r:id="rId82" xr:uid="{00000000-0004-0000-0200-000051000000}"/>
    <hyperlink ref="D291" r:id="rId83" xr:uid="{00000000-0004-0000-0200-000052000000}"/>
    <hyperlink ref="C293" r:id="rId84" xr:uid="{00000000-0004-0000-0200-000053000000}"/>
    <hyperlink ref="C294" r:id="rId85" xr:uid="{00000000-0004-0000-0200-000054000000}"/>
    <hyperlink ref="C295" r:id="rId86" xr:uid="{00000000-0004-0000-0200-000055000000}"/>
    <hyperlink ref="C296" r:id="rId87" xr:uid="{00000000-0004-0000-0200-000056000000}"/>
    <hyperlink ref="C297" r:id="rId88" xr:uid="{00000000-0004-0000-0200-000057000000}"/>
    <hyperlink ref="C298" r:id="rId89" xr:uid="{00000000-0004-0000-0200-000058000000}"/>
    <hyperlink ref="C299" r:id="rId90" xr:uid="{00000000-0004-0000-0200-000059000000}"/>
    <hyperlink ref="C300" r:id="rId91" xr:uid="{00000000-0004-0000-0200-00005A000000}"/>
    <hyperlink ref="C301" r:id="rId92" xr:uid="{00000000-0004-0000-0200-00005B000000}"/>
    <hyperlink ref="C302" r:id="rId93" xr:uid="{00000000-0004-0000-0200-00005C000000}"/>
    <hyperlink ref="D304" r:id="rId94" xr:uid="{00000000-0004-0000-0200-00005D000000}"/>
    <hyperlink ref="A317" r:id="rId95" xr:uid="{00000000-0004-0000-0200-00005E000000}"/>
    <hyperlink ref="D317" r:id="rId96" xr:uid="{00000000-0004-0000-0200-00005F000000}"/>
    <hyperlink ref="C319" r:id="rId97" xr:uid="{00000000-0004-0000-0200-000060000000}"/>
    <hyperlink ref="C320" r:id="rId98" xr:uid="{00000000-0004-0000-0200-000061000000}"/>
    <hyperlink ref="C322" r:id="rId99" xr:uid="{00000000-0004-0000-0200-000062000000}"/>
    <hyperlink ref="C323" r:id="rId100" xr:uid="{00000000-0004-0000-0200-000063000000}"/>
    <hyperlink ref="C324" r:id="rId101" xr:uid="{00000000-0004-0000-0200-000064000000}"/>
    <hyperlink ref="C325" r:id="rId102" xr:uid="{00000000-0004-0000-0200-000065000000}"/>
    <hyperlink ref="C326" r:id="rId103" xr:uid="{00000000-0004-0000-0200-000066000000}"/>
    <hyperlink ref="A330" r:id="rId104" xr:uid="{00000000-0004-0000-0200-000067000000}"/>
    <hyperlink ref="D370" r:id="rId105" xr:uid="{00000000-0004-0000-0200-000068000000}"/>
    <hyperlink ref="C372" r:id="rId106" xr:uid="{00000000-0004-0000-0200-000069000000}"/>
    <hyperlink ref="C373" r:id="rId107" xr:uid="{00000000-0004-0000-0200-00006A000000}"/>
    <hyperlink ref="C374" r:id="rId108" xr:uid="{00000000-0004-0000-0200-00006B000000}"/>
    <hyperlink ref="C375" r:id="rId109" xr:uid="{00000000-0004-0000-0200-00006C000000}"/>
    <hyperlink ref="C376" r:id="rId110" xr:uid="{00000000-0004-0000-0200-00006D000000}"/>
    <hyperlink ref="C377" r:id="rId111" xr:uid="{00000000-0004-0000-0200-00006E000000}"/>
    <hyperlink ref="C378" r:id="rId112" xr:uid="{00000000-0004-0000-0200-00006F000000}"/>
    <hyperlink ref="C379" r:id="rId113" xr:uid="{00000000-0004-0000-0200-000070000000}"/>
    <hyperlink ref="C380" r:id="rId114" xr:uid="{00000000-0004-0000-0200-000071000000}"/>
    <hyperlink ref="C381" r:id="rId115" xr:uid="{00000000-0004-0000-0200-000072000000}"/>
    <hyperlink ref="A383" r:id="rId116" xr:uid="{00000000-0004-0000-0200-000073000000}"/>
    <hyperlink ref="D383" r:id="rId117" xr:uid="{00000000-0004-0000-0200-000074000000}"/>
    <hyperlink ref="C385" r:id="rId118" xr:uid="{00000000-0004-0000-0200-000075000000}"/>
    <hyperlink ref="C386" r:id="rId119" xr:uid="{00000000-0004-0000-0200-000076000000}"/>
    <hyperlink ref="C387" r:id="rId120" xr:uid="{00000000-0004-0000-0200-000077000000}"/>
    <hyperlink ref="C388" r:id="rId121" xr:uid="{00000000-0004-0000-0200-000078000000}"/>
    <hyperlink ref="C389" r:id="rId122" xr:uid="{00000000-0004-0000-0200-000079000000}"/>
    <hyperlink ref="C390" r:id="rId123" xr:uid="{00000000-0004-0000-0200-00007A000000}"/>
    <hyperlink ref="C391" r:id="rId124" xr:uid="{00000000-0004-0000-0200-00007B000000}"/>
    <hyperlink ref="C392" r:id="rId125" xr:uid="{00000000-0004-0000-0200-00007C000000}"/>
    <hyperlink ref="C393" r:id="rId126" xr:uid="{00000000-0004-0000-0200-00007D000000}"/>
    <hyperlink ref="C394" r:id="rId127" xr:uid="{00000000-0004-0000-0200-00007E000000}"/>
    <hyperlink ref="A396" r:id="rId128" xr:uid="{00000000-0004-0000-0200-00007F000000}"/>
    <hyperlink ref="D396" r:id="rId129" xr:uid="{00000000-0004-0000-0200-000080000000}"/>
    <hyperlink ref="C398" r:id="rId130" xr:uid="{00000000-0004-0000-0200-000081000000}"/>
    <hyperlink ref="C399" r:id="rId131" xr:uid="{00000000-0004-0000-0200-000082000000}"/>
    <hyperlink ref="C400" r:id="rId132" xr:uid="{00000000-0004-0000-0200-000083000000}"/>
    <hyperlink ref="C401" r:id="rId133" xr:uid="{00000000-0004-0000-0200-000084000000}"/>
    <hyperlink ref="C402" r:id="rId134" xr:uid="{00000000-0004-0000-0200-000085000000}"/>
    <hyperlink ref="C403" r:id="rId135" xr:uid="{00000000-0004-0000-0200-000086000000}"/>
    <hyperlink ref="C404" r:id="rId136" xr:uid="{00000000-0004-0000-0200-000087000000}"/>
    <hyperlink ref="C405" r:id="rId137" xr:uid="{00000000-0004-0000-0200-000088000000}"/>
    <hyperlink ref="C406" r:id="rId138" xr:uid="{00000000-0004-0000-0200-000089000000}"/>
    <hyperlink ref="D409" r:id="rId139" xr:uid="{00000000-0004-0000-0200-00008A000000}"/>
    <hyperlink ref="D422" r:id="rId140" xr:uid="{00000000-0004-0000-0200-00008B000000}"/>
    <hyperlink ref="A435" r:id="rId141" xr:uid="{00000000-0004-0000-0200-00008C000000}"/>
    <hyperlink ref="D435" r:id="rId142" xr:uid="{00000000-0004-0000-0200-00008D000000}"/>
    <hyperlink ref="C437" r:id="rId143" xr:uid="{00000000-0004-0000-0200-00008E000000}"/>
    <hyperlink ref="C438" r:id="rId144" xr:uid="{00000000-0004-0000-0200-00008F000000}"/>
    <hyperlink ref="C439" r:id="rId145" xr:uid="{00000000-0004-0000-0200-000090000000}"/>
    <hyperlink ref="C440" r:id="rId146" xr:uid="{00000000-0004-0000-0200-000091000000}"/>
    <hyperlink ref="C441" r:id="rId147" xr:uid="{00000000-0004-0000-0200-000092000000}"/>
    <hyperlink ref="C442" r:id="rId148" xr:uid="{00000000-0004-0000-0200-000093000000}"/>
    <hyperlink ref="C443" r:id="rId149" xr:uid="{00000000-0004-0000-0200-000094000000}"/>
    <hyperlink ref="C444" r:id="rId150" xr:uid="{00000000-0004-0000-0200-000095000000}"/>
    <hyperlink ref="C445" r:id="rId151" xr:uid="{00000000-0004-0000-0200-000096000000}"/>
    <hyperlink ref="C446" r:id="rId152" xr:uid="{00000000-0004-0000-0200-000097000000}"/>
    <hyperlink ref="D448" r:id="rId153" xr:uid="{00000000-0004-0000-0200-000098000000}"/>
    <hyperlink ref="A461" r:id="rId154" xr:uid="{00000000-0004-0000-0200-000099000000}"/>
    <hyperlink ref="D474" r:id="rId155" xr:uid="{00000000-0004-0000-0200-00009A000000}"/>
    <hyperlink ref="A487" r:id="rId156" xr:uid="{00000000-0004-0000-0200-00009B000000}"/>
    <hyperlink ref="D487" r:id="rId157" xr:uid="{00000000-0004-0000-0200-00009C000000}"/>
    <hyperlink ref="C489" r:id="rId158" xr:uid="{00000000-0004-0000-0200-00009D000000}"/>
    <hyperlink ref="C490" r:id="rId159" xr:uid="{00000000-0004-0000-0200-00009E000000}"/>
    <hyperlink ref="C491" r:id="rId160" xr:uid="{00000000-0004-0000-0200-00009F000000}"/>
    <hyperlink ref="C492" r:id="rId161" xr:uid="{00000000-0004-0000-0200-0000A0000000}"/>
    <hyperlink ref="C493" r:id="rId162" xr:uid="{00000000-0004-0000-0200-0000A1000000}"/>
    <hyperlink ref="C494" r:id="rId163" xr:uid="{00000000-0004-0000-0200-0000A2000000}"/>
    <hyperlink ref="C495" r:id="rId164" xr:uid="{00000000-0004-0000-0200-0000A3000000}"/>
    <hyperlink ref="C496" r:id="rId165" xr:uid="{00000000-0004-0000-0200-0000A4000000}"/>
    <hyperlink ref="C497" r:id="rId166" xr:uid="{00000000-0004-0000-0200-0000A5000000}"/>
    <hyperlink ref="C498" r:id="rId167" xr:uid="{00000000-0004-0000-0200-0000A6000000}"/>
    <hyperlink ref="A513" r:id="rId168" xr:uid="{00000000-0004-0000-0200-0000A7000000}"/>
    <hyperlink ref="A526" r:id="rId169" xr:uid="{00000000-0004-0000-0200-0000A8000000}"/>
    <hyperlink ref="D526" r:id="rId170" xr:uid="{00000000-0004-0000-0200-0000A9000000}"/>
    <hyperlink ref="C528" r:id="rId171" xr:uid="{00000000-0004-0000-0200-0000AA000000}"/>
    <hyperlink ref="C529" r:id="rId172" xr:uid="{00000000-0004-0000-0200-0000AB000000}"/>
    <hyperlink ref="C530" r:id="rId173" xr:uid="{00000000-0004-0000-0200-0000AC000000}"/>
    <hyperlink ref="C531" r:id="rId174" xr:uid="{00000000-0004-0000-0200-0000AD000000}"/>
    <hyperlink ref="C532" r:id="rId175" xr:uid="{00000000-0004-0000-0200-0000AE000000}"/>
    <hyperlink ref="C533" r:id="rId176" xr:uid="{00000000-0004-0000-0200-0000AF000000}"/>
    <hyperlink ref="C534" r:id="rId177" xr:uid="{00000000-0004-0000-0200-0000B0000000}"/>
    <hyperlink ref="C535" r:id="rId178" xr:uid="{00000000-0004-0000-0200-0000B1000000}"/>
    <hyperlink ref="C536" r:id="rId179" xr:uid="{00000000-0004-0000-0200-0000B2000000}"/>
    <hyperlink ref="C537" r:id="rId180" xr:uid="{00000000-0004-0000-0200-0000B3000000}"/>
    <hyperlink ref="D539" r:id="rId181" xr:uid="{00000000-0004-0000-0200-0000B4000000}"/>
    <hyperlink ref="A552" r:id="rId182" xr:uid="{00000000-0004-0000-0200-0000B5000000}"/>
    <hyperlink ref="A565" r:id="rId183" xr:uid="{00000000-0004-0000-0200-0000B6000000}"/>
    <hyperlink ref="D565" r:id="rId184" xr:uid="{00000000-0004-0000-0200-0000B7000000}"/>
    <hyperlink ref="C567" r:id="rId185" xr:uid="{00000000-0004-0000-0200-0000B8000000}"/>
    <hyperlink ref="C568" r:id="rId186" xr:uid="{00000000-0004-0000-0200-0000B9000000}"/>
    <hyperlink ref="C570" r:id="rId187" xr:uid="{00000000-0004-0000-0200-0000BA000000}"/>
    <hyperlink ref="C571" r:id="rId188" xr:uid="{00000000-0004-0000-0200-0000BB000000}"/>
    <hyperlink ref="C572" r:id="rId189" xr:uid="{00000000-0004-0000-0200-0000BC000000}"/>
    <hyperlink ref="C573" r:id="rId190" xr:uid="{00000000-0004-0000-0200-0000BD000000}"/>
    <hyperlink ref="C574" r:id="rId191" xr:uid="{00000000-0004-0000-0200-0000BE000000}"/>
    <hyperlink ref="D578" r:id="rId192" xr:uid="{00000000-0004-0000-0200-0000BF000000}"/>
    <hyperlink ref="A591" r:id="rId193" xr:uid="{00000000-0004-0000-0200-0000C0000000}"/>
    <hyperlink ref="A617" r:id="rId194" xr:uid="{00000000-0004-0000-0200-0000C1000000}"/>
    <hyperlink ref="D617" r:id="rId195" xr:uid="{00000000-0004-0000-0200-0000C2000000}"/>
    <hyperlink ref="C619" r:id="rId196" xr:uid="{00000000-0004-0000-0200-0000C3000000}"/>
    <hyperlink ref="C620" r:id="rId197" xr:uid="{00000000-0004-0000-0200-0000C4000000}"/>
    <hyperlink ref="C621" r:id="rId198" xr:uid="{00000000-0004-0000-0200-0000C5000000}"/>
    <hyperlink ref="C622" r:id="rId199" xr:uid="{00000000-0004-0000-0200-0000C6000000}"/>
    <hyperlink ref="C623" r:id="rId200" xr:uid="{00000000-0004-0000-0200-0000C7000000}"/>
    <hyperlink ref="C624" r:id="rId201" xr:uid="{00000000-0004-0000-0200-0000C8000000}"/>
    <hyperlink ref="C625" r:id="rId202" xr:uid="{00000000-0004-0000-0200-0000C9000000}"/>
    <hyperlink ref="C626" r:id="rId203" xr:uid="{00000000-0004-0000-0200-0000CA000000}"/>
    <hyperlink ref="C627" r:id="rId204" xr:uid="{00000000-0004-0000-0200-0000CB000000}"/>
    <hyperlink ref="C628" r:id="rId205" xr:uid="{00000000-0004-0000-0200-0000CC000000}"/>
    <hyperlink ref="A630" r:id="rId206" xr:uid="{00000000-0004-0000-0200-0000CD000000}"/>
    <hyperlink ref="D630" r:id="rId207" xr:uid="{00000000-0004-0000-0200-0000CE000000}"/>
    <hyperlink ref="C632" r:id="rId208" xr:uid="{00000000-0004-0000-0200-0000CF000000}"/>
    <hyperlink ref="C633" r:id="rId209" xr:uid="{00000000-0004-0000-0200-0000D0000000}"/>
    <hyperlink ref="C634" r:id="rId210" xr:uid="{00000000-0004-0000-0200-0000D1000000}"/>
    <hyperlink ref="C635" r:id="rId211" xr:uid="{00000000-0004-0000-0200-0000D2000000}"/>
    <hyperlink ref="C636" r:id="rId212" xr:uid="{00000000-0004-0000-0200-0000D3000000}"/>
    <hyperlink ref="C638" r:id="rId213" xr:uid="{00000000-0004-0000-0200-0000D4000000}"/>
    <hyperlink ref="C639" r:id="rId214" xr:uid="{00000000-0004-0000-0200-0000D5000000}"/>
    <hyperlink ref="C640" r:id="rId215" xr:uid="{00000000-0004-0000-0200-0000D6000000}"/>
    <hyperlink ref="C641" r:id="rId216" xr:uid="{00000000-0004-0000-0200-0000D7000000}"/>
    <hyperlink ref="A656" r:id="rId217" xr:uid="{00000000-0004-0000-0200-0000D8000000}"/>
    <hyperlink ref="A669" r:id="rId218" xr:uid="{00000000-0004-0000-0200-0000D9000000}"/>
    <hyperlink ref="D669" r:id="rId219" xr:uid="{00000000-0004-0000-0200-0000DA000000}"/>
    <hyperlink ref="C671" r:id="rId220" xr:uid="{00000000-0004-0000-0200-0000DB000000}"/>
    <hyperlink ref="C672" r:id="rId221" xr:uid="{00000000-0004-0000-0200-0000DC000000}"/>
    <hyperlink ref="C673" r:id="rId222" xr:uid="{00000000-0004-0000-0200-0000DD000000}"/>
    <hyperlink ref="C674" r:id="rId223" xr:uid="{00000000-0004-0000-0200-0000DE000000}"/>
    <hyperlink ref="C675" r:id="rId224" xr:uid="{00000000-0004-0000-0200-0000DF000000}"/>
    <hyperlink ref="C676" r:id="rId225" xr:uid="{00000000-0004-0000-0200-0000E0000000}"/>
    <hyperlink ref="C677" r:id="rId226" xr:uid="{00000000-0004-0000-0200-0000E1000000}"/>
    <hyperlink ref="C678" r:id="rId227" xr:uid="{00000000-0004-0000-0200-0000E2000000}"/>
    <hyperlink ref="C679" r:id="rId228" xr:uid="{00000000-0004-0000-0200-0000E3000000}"/>
    <hyperlink ref="C680" r:id="rId229" xr:uid="{00000000-0004-0000-0200-0000E4000000}"/>
    <hyperlink ref="D708" r:id="rId230" xr:uid="{00000000-0004-0000-0200-0000E5000000}"/>
    <hyperlink ref="A734" r:id="rId231" xr:uid="{00000000-0004-0000-0200-0000E6000000}"/>
    <hyperlink ref="D734" r:id="rId232" xr:uid="{00000000-0004-0000-0200-0000E7000000}"/>
    <hyperlink ref="C736" r:id="rId233" xr:uid="{00000000-0004-0000-0200-0000E8000000}"/>
    <hyperlink ref="C737" r:id="rId234" xr:uid="{00000000-0004-0000-0200-0000E9000000}"/>
    <hyperlink ref="C738" r:id="rId235" xr:uid="{00000000-0004-0000-0200-0000EA000000}"/>
    <hyperlink ref="C739" r:id="rId236" xr:uid="{00000000-0004-0000-0200-0000EB000000}"/>
    <hyperlink ref="C740" r:id="rId237" xr:uid="{00000000-0004-0000-0200-0000EC000000}"/>
    <hyperlink ref="C741" r:id="rId238" xr:uid="{00000000-0004-0000-0200-0000ED000000}"/>
    <hyperlink ref="C742" r:id="rId239" xr:uid="{00000000-0004-0000-0200-0000EE000000}"/>
    <hyperlink ref="C743" r:id="rId240" xr:uid="{00000000-0004-0000-0200-0000EF000000}"/>
    <hyperlink ref="C744" r:id="rId241" xr:uid="{00000000-0004-0000-0200-0000F0000000}"/>
    <hyperlink ref="C745" r:id="rId242" xr:uid="{00000000-0004-0000-0200-0000F1000000}"/>
    <hyperlink ref="A747" r:id="rId243" xr:uid="{00000000-0004-0000-0200-0000F2000000}"/>
    <hyperlink ref="D747" r:id="rId244" xr:uid="{00000000-0004-0000-0200-0000F3000000}"/>
    <hyperlink ref="C749" r:id="rId245" xr:uid="{00000000-0004-0000-0200-0000F4000000}"/>
    <hyperlink ref="C750" r:id="rId246" xr:uid="{00000000-0004-0000-0200-0000F5000000}"/>
    <hyperlink ref="C751" r:id="rId247" xr:uid="{00000000-0004-0000-0200-0000F6000000}"/>
    <hyperlink ref="C752" r:id="rId248" xr:uid="{00000000-0004-0000-0200-0000F7000000}"/>
    <hyperlink ref="C753" r:id="rId249" xr:uid="{00000000-0004-0000-0200-0000F8000000}"/>
    <hyperlink ref="C754" r:id="rId250" xr:uid="{00000000-0004-0000-0200-0000F9000000}"/>
    <hyperlink ref="C755" r:id="rId251" xr:uid="{00000000-0004-0000-0200-0000FA000000}"/>
    <hyperlink ref="C756" r:id="rId252" xr:uid="{00000000-0004-0000-0200-0000FB000000}"/>
    <hyperlink ref="C757" r:id="rId253" xr:uid="{00000000-0004-0000-0200-0000FC000000}"/>
    <hyperlink ref="C758" r:id="rId254" xr:uid="{00000000-0004-0000-0200-0000FD000000}"/>
    <hyperlink ref="A786" r:id="rId255" xr:uid="{00000000-0004-0000-0200-0000FE000000}"/>
    <hyperlink ref="C788" r:id="rId256" xr:uid="{00000000-0004-0000-0200-0000FF000000}"/>
    <hyperlink ref="C789" r:id="rId257" xr:uid="{00000000-0004-0000-0200-000000010000}"/>
    <hyperlink ref="C790" r:id="rId258" xr:uid="{00000000-0004-0000-0200-000001010000}"/>
    <hyperlink ref="C791" r:id="rId259" xr:uid="{00000000-0004-0000-0200-000002010000}"/>
    <hyperlink ref="C792" r:id="rId260" xr:uid="{00000000-0004-0000-0200-000003010000}"/>
    <hyperlink ref="C793" r:id="rId261" xr:uid="{00000000-0004-0000-0200-000004010000}"/>
    <hyperlink ref="C794" r:id="rId262" xr:uid="{00000000-0004-0000-0200-000005010000}"/>
    <hyperlink ref="C795" r:id="rId263" xr:uid="{00000000-0004-0000-0200-000006010000}"/>
    <hyperlink ref="C796" r:id="rId264" xr:uid="{00000000-0004-0000-0200-000007010000}"/>
    <hyperlink ref="C797" r:id="rId265" xr:uid="{00000000-0004-0000-0200-000008010000}"/>
    <hyperlink ref="D799" r:id="rId266" xr:uid="{00000000-0004-0000-0200-000009010000}"/>
    <hyperlink ref="A812" r:id="rId267" xr:uid="{00000000-0004-0000-0200-00000A010000}"/>
    <hyperlink ref="D812" r:id="rId268" xr:uid="{00000000-0004-0000-0200-00000B010000}"/>
    <hyperlink ref="C814" r:id="rId269" xr:uid="{00000000-0004-0000-0200-00000C010000}"/>
    <hyperlink ref="C815" r:id="rId270" xr:uid="{00000000-0004-0000-0200-00000D010000}"/>
    <hyperlink ref="C816" r:id="rId271" xr:uid="{00000000-0004-0000-0200-00000E010000}"/>
    <hyperlink ref="C817" r:id="rId272" xr:uid="{00000000-0004-0000-0200-00000F010000}"/>
    <hyperlink ref="C818" r:id="rId273" xr:uid="{00000000-0004-0000-0200-000010010000}"/>
    <hyperlink ref="C819" r:id="rId274" xr:uid="{00000000-0004-0000-0200-000011010000}"/>
    <hyperlink ref="C820" r:id="rId275" xr:uid="{00000000-0004-0000-0200-000012010000}"/>
    <hyperlink ref="C821" r:id="rId276" xr:uid="{00000000-0004-0000-0200-000013010000}"/>
    <hyperlink ref="C822" r:id="rId277" xr:uid="{00000000-0004-0000-0200-000014010000}"/>
    <hyperlink ref="C823" r:id="rId278" xr:uid="{00000000-0004-0000-0200-000015010000}"/>
    <hyperlink ref="A825" r:id="rId279" xr:uid="{00000000-0004-0000-0200-000016010000}"/>
    <hyperlink ref="D825" r:id="rId280" xr:uid="{00000000-0004-0000-0200-000017010000}"/>
    <hyperlink ref="C827" r:id="rId281" xr:uid="{00000000-0004-0000-0200-000018010000}"/>
    <hyperlink ref="C828" r:id="rId282" xr:uid="{00000000-0004-0000-0200-000019010000}"/>
    <hyperlink ref="C829" r:id="rId283" xr:uid="{00000000-0004-0000-0200-00001A010000}"/>
    <hyperlink ref="C830" r:id="rId284" xr:uid="{00000000-0004-0000-0200-00001B010000}"/>
    <hyperlink ref="C831" r:id="rId285" xr:uid="{00000000-0004-0000-0200-00001C010000}"/>
    <hyperlink ref="C832" r:id="rId286" xr:uid="{00000000-0004-0000-0200-00001D010000}"/>
    <hyperlink ref="C833" r:id="rId287" xr:uid="{00000000-0004-0000-0200-00001E010000}"/>
    <hyperlink ref="C835" r:id="rId288" xr:uid="{00000000-0004-0000-0200-00001F010000}"/>
    <hyperlink ref="C836" r:id="rId289" xr:uid="{00000000-0004-0000-0200-000020010000}"/>
    <hyperlink ref="D838" r:id="rId290" xr:uid="{00000000-0004-0000-0200-000021010000}"/>
    <hyperlink ref="A851" r:id="rId291" xr:uid="{00000000-0004-0000-0200-000022010000}"/>
    <hyperlink ref="D864" r:id="rId292" xr:uid="{00000000-0004-0000-0200-000023010000}"/>
    <hyperlink ref="A877" r:id="rId293" xr:uid="{00000000-0004-0000-0200-000024010000}"/>
    <hyperlink ref="D877" r:id="rId294" xr:uid="{00000000-0004-0000-0200-000025010000}"/>
    <hyperlink ref="C879" r:id="rId295" xr:uid="{00000000-0004-0000-0200-000026010000}"/>
    <hyperlink ref="C880" r:id="rId296" xr:uid="{00000000-0004-0000-0200-000027010000}"/>
    <hyperlink ref="C881" r:id="rId297" xr:uid="{00000000-0004-0000-0200-000028010000}"/>
    <hyperlink ref="C882" r:id="rId298" xr:uid="{00000000-0004-0000-0200-000029010000}"/>
    <hyperlink ref="C883" r:id="rId299" xr:uid="{00000000-0004-0000-0200-00002A010000}"/>
    <hyperlink ref="C884" r:id="rId300" xr:uid="{00000000-0004-0000-0200-00002B010000}"/>
    <hyperlink ref="C885" r:id="rId301" xr:uid="{00000000-0004-0000-0200-00002C010000}"/>
    <hyperlink ref="C886" r:id="rId302" xr:uid="{00000000-0004-0000-0200-00002D010000}"/>
    <hyperlink ref="C887" r:id="rId303" xr:uid="{00000000-0004-0000-0200-00002E010000}"/>
    <hyperlink ref="C888" r:id="rId304" xr:uid="{00000000-0004-0000-0200-00002F010000}"/>
    <hyperlink ref="D890" r:id="rId305" xr:uid="{00000000-0004-0000-0200-000030010000}"/>
    <hyperlink ref="A903" r:id="rId306" xr:uid="{00000000-0004-0000-0200-000031010000}"/>
    <hyperlink ref="D903" r:id="rId307" xr:uid="{00000000-0004-0000-0200-000032010000}"/>
    <hyperlink ref="C905" r:id="rId308" xr:uid="{00000000-0004-0000-0200-000033010000}"/>
    <hyperlink ref="C906" r:id="rId309" xr:uid="{00000000-0004-0000-0200-000034010000}"/>
    <hyperlink ref="C907" r:id="rId310" xr:uid="{00000000-0004-0000-0200-000035010000}"/>
    <hyperlink ref="C908" r:id="rId311" xr:uid="{00000000-0004-0000-0200-000036010000}"/>
    <hyperlink ref="C909" r:id="rId312" xr:uid="{00000000-0004-0000-0200-000037010000}"/>
    <hyperlink ref="C910" r:id="rId313" xr:uid="{00000000-0004-0000-0200-000038010000}"/>
    <hyperlink ref="C911" r:id="rId314" xr:uid="{00000000-0004-0000-0200-000039010000}"/>
    <hyperlink ref="C912" r:id="rId315" xr:uid="{00000000-0004-0000-0200-00003A010000}"/>
    <hyperlink ref="C913" r:id="rId316" xr:uid="{00000000-0004-0000-0200-00003B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569"/>
  <sheetViews>
    <sheetView topLeftCell="A484" workbookViewId="0">
      <selection activeCell="H504" sqref="H504"/>
    </sheetView>
  </sheetViews>
  <sheetFormatPr defaultColWidth="12.5703125" defaultRowHeight="15.75" customHeight="1"/>
  <cols>
    <col min="1" max="1" width="41.5703125" customWidth="1"/>
    <col min="3" max="3" width="65.42578125" customWidth="1"/>
  </cols>
  <sheetData>
    <row r="1" spans="1:4" ht="12.75">
      <c r="A1" s="155"/>
      <c r="B1" s="156"/>
      <c r="C1" s="156"/>
      <c r="D1" s="156"/>
    </row>
    <row r="2" spans="1:4" ht="15.75" customHeight="1">
      <c r="A2" s="22" t="str">
        <f>HYPERLINK("https://www.reddit.com/r/indieheads/comments/3j8o70/top_ten_tuesday_m83/","M83")</f>
        <v>M83</v>
      </c>
      <c r="B2" s="23">
        <v>42248</v>
      </c>
      <c r="C2" s="24"/>
      <c r="D2" s="24"/>
    </row>
    <row r="3" spans="1:4" ht="12.75">
      <c r="A3" s="26" t="s">
        <v>2</v>
      </c>
      <c r="B3" s="26" t="s">
        <v>3</v>
      </c>
      <c r="C3" s="26" t="s">
        <v>4</v>
      </c>
      <c r="D3" s="26" t="s">
        <v>5</v>
      </c>
    </row>
    <row r="4" spans="1:4" ht="12.75">
      <c r="A4" s="9" t="str">
        <f>HYPERLINK("https://www.youtube.com/watch?v=dX3k_QDnzHE","Midnight City")</f>
        <v>Midnight City</v>
      </c>
      <c r="B4" s="8">
        <v>204</v>
      </c>
      <c r="C4" s="9" t="str">
        <f>HYPERLINK("https://en.wikipedia.org/wiki/Hurry_Up,_We%27re_Dreaming","Hurry Up, We're Dreaming")</f>
        <v>Hurry Up, We're Dreaming</v>
      </c>
      <c r="D4" s="7">
        <v>2011</v>
      </c>
    </row>
    <row r="5" spans="1:4" ht="12.75">
      <c r="A5" s="29" t="str">
        <f>HYPERLINK("https://www.youtube.com/watch?v=sWsUNbdc5IM","We Own the Sky")</f>
        <v>We Own the Sky</v>
      </c>
      <c r="B5" s="28">
        <v>112</v>
      </c>
      <c r="C5" s="29" t="str">
        <f t="shared" ref="C5:C6" si="0">HYPERLINK("https://en.wikipedia.org/wiki/Saturdays_%3D_Youth","Saturdays = Youth")</f>
        <v>Saturdays = Youth</v>
      </c>
      <c r="D5" s="27">
        <v>2008</v>
      </c>
    </row>
    <row r="6" spans="1:4" ht="12.75">
      <c r="A6" s="9" t="str">
        <f>HYPERLINK("https://www.youtube.com/watch?v=azNlYul2IoY","Couleurs")</f>
        <v>Couleurs</v>
      </c>
      <c r="B6" s="8">
        <v>110</v>
      </c>
      <c r="C6" s="9" t="str">
        <f t="shared" si="0"/>
        <v>Saturdays = Youth</v>
      </c>
      <c r="D6" s="7">
        <v>2008</v>
      </c>
    </row>
    <row r="7" spans="1:4" ht="12.75">
      <c r="A7" s="29" t="str">
        <f>HYPERLINK("https://www.youtube.com/watch?v=a8Iqskd_Vq8","Steve McQueen")</f>
        <v>Steve McQueen</v>
      </c>
      <c r="B7" s="28">
        <v>106</v>
      </c>
      <c r="C7" s="29" t="str">
        <f>HYPERLINK("https://en.wikipedia.org/wiki/Hurry_Up,_We%27re_Dreaming","Hurry Up, We're Dreaming")</f>
        <v>Hurry Up, We're Dreaming</v>
      </c>
      <c r="D7" s="27">
        <v>2011</v>
      </c>
    </row>
    <row r="8" spans="1:4" ht="12.75">
      <c r="A8" s="9" t="str">
        <f>HYPERLINK("https://www.youtube.com/watch?v=n5cgzcjqOtE","Kim &amp; Jessie")</f>
        <v>Kim &amp; Jessie</v>
      </c>
      <c r="B8" s="8">
        <v>90</v>
      </c>
      <c r="C8" s="9" t="str">
        <f>HYPERLINK("https://en.wikipedia.org/wiki/Saturdays_%3D_Youth","Saturdays = Youth")</f>
        <v>Saturdays = Youth</v>
      </c>
      <c r="D8" s="7">
        <v>2008</v>
      </c>
    </row>
    <row r="9" spans="1:4" ht="12.75">
      <c r="A9" s="29" t="str">
        <f>HYPERLINK("https://www.youtube.com/watch?v=3Sb9fWcJk14","Intro ")</f>
        <v xml:space="preserve">Intro </v>
      </c>
      <c r="B9" s="28">
        <v>86</v>
      </c>
      <c r="C9" s="29" t="str">
        <f t="shared" ref="C9:C11" si="1">HYPERLINK("https://en.wikipedia.org/wiki/Hurry_Up,_We%27re_Dreaming","Hurry Up, We're Dreaming")</f>
        <v>Hurry Up, We're Dreaming</v>
      </c>
      <c r="D9" s="27">
        <v>2011</v>
      </c>
    </row>
    <row r="10" spans="1:4" ht="12.75">
      <c r="A10" s="9" t="str">
        <f>HYPERLINK("https://www.youtube.com/watch?v=lAwYodrBr2Q","Wait")</f>
        <v>Wait</v>
      </c>
      <c r="B10" s="8">
        <v>86</v>
      </c>
      <c r="C10" s="9" t="str">
        <f t="shared" si="1"/>
        <v>Hurry Up, We're Dreaming</v>
      </c>
      <c r="D10" s="7">
        <v>2011</v>
      </c>
    </row>
    <row r="11" spans="1:4" ht="12.75">
      <c r="A11" s="29" t="str">
        <f>HYPERLINK("https://www.youtube.com/watch?v=UDoEqBas4Y0","Outro")</f>
        <v>Outro</v>
      </c>
      <c r="B11" s="28">
        <v>79</v>
      </c>
      <c r="C11" s="29" t="str">
        <f t="shared" si="1"/>
        <v>Hurry Up, We're Dreaming</v>
      </c>
      <c r="D11" s="27">
        <v>2011</v>
      </c>
    </row>
    <row r="12" spans="1:4" ht="12.75">
      <c r="A12" s="9" t="str">
        <f>HYPERLINK("https://www.youtube.com/watch?v=gzPsMalV8ns","Don't Save Us from the Flames")</f>
        <v>Don't Save Us from the Flames</v>
      </c>
      <c r="B12" s="8">
        <v>70</v>
      </c>
      <c r="C12" s="9" t="str">
        <f t="shared" ref="C12:C13" si="2">HYPERLINK("https://en.wikipedia.org/wiki/Before_the_Dawn_Heals_Us","Before the Dawn Heals Us")</f>
        <v>Before the Dawn Heals Us</v>
      </c>
      <c r="D12" s="7">
        <v>2005</v>
      </c>
    </row>
    <row r="13" spans="1:4" ht="12.75">
      <c r="A13" s="29" t="str">
        <f>HYPERLINK("https://www.youtube.com/watch?v=rZnJciiFIYI","Teen Angst")</f>
        <v>Teen Angst</v>
      </c>
      <c r="B13" s="28">
        <v>68</v>
      </c>
      <c r="C13" s="29" t="str">
        <f t="shared" si="2"/>
        <v>Before the Dawn Heals Us</v>
      </c>
      <c r="D13" s="27">
        <v>2005</v>
      </c>
    </row>
    <row r="14" spans="1:4" ht="12.75">
      <c r="A14" s="152"/>
      <c r="B14" s="153"/>
      <c r="C14" s="153"/>
      <c r="D14" s="154"/>
    </row>
    <row r="15" spans="1:4" ht="15.75" customHeight="1">
      <c r="A15" s="22" t="str">
        <f>HYPERLINK("https://www.reddit.com/r/indieheads/comments/477rmf/top_ten_tuesday_mac_demarco/","Mac DeMarco")</f>
        <v>Mac DeMarco</v>
      </c>
      <c r="B15" s="23">
        <v>42423</v>
      </c>
      <c r="C15" s="24"/>
      <c r="D15" s="24"/>
    </row>
    <row r="16" spans="1:4" ht="12.75">
      <c r="A16" s="26" t="s">
        <v>2</v>
      </c>
      <c r="B16" s="26" t="s">
        <v>3</v>
      </c>
      <c r="C16" s="26" t="s">
        <v>4</v>
      </c>
      <c r="D16" s="26" t="s">
        <v>5</v>
      </c>
    </row>
    <row r="17" spans="1:4" ht="12.75">
      <c r="A17" s="9" t="str">
        <f>HYPERLINK("https://www.youtube.com/watch?v=oVctwNqAUrs","Ode to Viceroy")</f>
        <v>Ode to Viceroy</v>
      </c>
      <c r="B17" s="8">
        <v>403</v>
      </c>
      <c r="C17" s="9" t="str">
        <f>HYPERLINK("https://en.wikipedia.org/wiki/2_(Mac_DeMarco_album)","2")</f>
        <v>2</v>
      </c>
      <c r="D17" s="7">
        <v>2012</v>
      </c>
    </row>
    <row r="18" spans="1:4" ht="12.75">
      <c r="A18" s="29" t="str">
        <f>HYPERLINK("https://www.youtube.com/watch?v=hzW3Ob_8RN0","Passing Out Pieces")</f>
        <v>Passing Out Pieces</v>
      </c>
      <c r="B18" s="28">
        <v>346</v>
      </c>
      <c r="C18" s="29" t="str">
        <f>HYPERLINK("https://en.wikipedia.org/wiki/Salad_Days_(Mac_DeMarco_album)","Salad Days")</f>
        <v>Salad Days</v>
      </c>
      <c r="D18" s="27">
        <v>2014</v>
      </c>
    </row>
    <row r="19" spans="1:4" ht="12.75">
      <c r="A19" s="9" t="str">
        <f>HYPERLINK("https://www.youtube.com/watch?v=LbYwT6TULjg","Freaking Out the Neighborhood")</f>
        <v>Freaking Out the Neighborhood</v>
      </c>
      <c r="B19" s="8">
        <v>326</v>
      </c>
      <c r="C19" s="9" t="str">
        <f>HYPERLINK("https://en.wikipedia.org/wiki/2_(Mac_DeMarco_album)","2")</f>
        <v>2</v>
      </c>
      <c r="D19" s="7">
        <v>2012</v>
      </c>
    </row>
    <row r="20" spans="1:4" ht="12.75">
      <c r="A20" s="29" t="str">
        <f>HYPERLINK("https://www.youtube.com/watch?v=uhO7fHYXVYU","Chamber of Reflection")</f>
        <v>Chamber of Reflection</v>
      </c>
      <c r="B20" s="28">
        <v>319</v>
      </c>
      <c r="C20" s="29" t="str">
        <f>HYPERLINK("https://en.wikipedia.org/wiki/Salad_Days_(Mac_DeMarco_album)","Salad Days")</f>
        <v>Salad Days</v>
      </c>
      <c r="D20" s="27">
        <v>2014</v>
      </c>
    </row>
    <row r="21" spans="1:4" ht="12.75">
      <c r="A21" s="9" t="str">
        <f>HYPERLINK("https://www.youtube.com/watch?v=1_tjOgqG8Yc","My Kind of Woman")</f>
        <v>My Kind of Woman</v>
      </c>
      <c r="B21" s="8">
        <v>266</v>
      </c>
      <c r="C21" s="9" t="str">
        <f t="shared" ref="C21:C22" si="3">HYPERLINK("https://en.wikipedia.org/wiki/2_(Mac_DeMarco_album)","2")</f>
        <v>2</v>
      </c>
      <c r="D21" s="7">
        <v>2012</v>
      </c>
    </row>
    <row r="22" spans="1:4" ht="12.75">
      <c r="A22" s="29" t="str">
        <f>HYPERLINK("https://www.youtube.com/watch?v=2WZ5X0AMdK4","Cooking Up Something Good")</f>
        <v>Cooking Up Something Good</v>
      </c>
      <c r="B22" s="28">
        <v>238</v>
      </c>
      <c r="C22" s="29" t="str">
        <f t="shared" si="3"/>
        <v>2</v>
      </c>
      <c r="D22" s="27">
        <v>2012</v>
      </c>
    </row>
    <row r="23" spans="1:4" ht="12.75">
      <c r="A23" s="9" t="str">
        <f>HYPERLINK("https://www.youtube.com/watch?v=cqsWKKr1pe4","Salad Days")</f>
        <v>Salad Days</v>
      </c>
      <c r="B23" s="8">
        <v>227</v>
      </c>
      <c r="C23" s="9" t="str">
        <f t="shared" ref="C23:C24" si="4">HYPERLINK("https://en.wikipedia.org/wiki/Salad_Days_(Mac_DeMarco_album)","Salad Days")</f>
        <v>Salad Days</v>
      </c>
      <c r="D23" s="7">
        <v>2014</v>
      </c>
    </row>
    <row r="24" spans="1:4" ht="12.75">
      <c r="A24" s="29" t="str">
        <f>HYPERLINK("https://www.youtube.com/watch?v=JyP0ToMAgB4","Blue Boy")</f>
        <v>Blue Boy</v>
      </c>
      <c r="B24" s="28">
        <v>185</v>
      </c>
      <c r="C24" s="29" t="str">
        <f t="shared" si="4"/>
        <v>Salad Days</v>
      </c>
      <c r="D24" s="27">
        <v>2014</v>
      </c>
    </row>
    <row r="25" spans="1:4" ht="12.75">
      <c r="A25" s="9" t="str">
        <f>HYPERLINK("https://www.youtube.com/watch?v=9JAGckajLns","The Stars Keep On Calling My Name")</f>
        <v>The Stars Keep On Calling My Name</v>
      </c>
      <c r="B25" s="8">
        <v>152</v>
      </c>
      <c r="C25" s="9" t="str">
        <f>HYPERLINK("https://en.wikipedia.org/wiki/2_(Mac_DeMarco_album)","2")</f>
        <v>2</v>
      </c>
      <c r="D25" s="7">
        <v>2012</v>
      </c>
    </row>
    <row r="26" spans="1:4" ht="12.75">
      <c r="A26" s="29" t="str">
        <f>HYPERLINK("https://www.youtube.com/watch?v=Ok6ZqbE10O0","Let Her Go")</f>
        <v>Let Her Go</v>
      </c>
      <c r="B26" s="28">
        <v>136</v>
      </c>
      <c r="C26" s="29" t="str">
        <f>HYPERLINK("https://en.wikipedia.org/wiki/Salad_Days_(Mac_DeMarco_album)","Salad Days")</f>
        <v>Salad Days</v>
      </c>
      <c r="D26" s="27">
        <v>2014</v>
      </c>
    </row>
    <row r="27" spans="1:4" ht="12.75">
      <c r="A27" s="152"/>
      <c r="B27" s="153"/>
      <c r="C27" s="153"/>
      <c r="D27" s="154"/>
    </row>
    <row r="28" spans="1:4" ht="18">
      <c r="A28" s="22" t="str">
        <f>HYPERLINK("https://www.reddit.com/r/indieheads/comments/5wpsg1/top_ten_tuesday_the_magnetic_fields/","The Magnetic Fields")</f>
        <v>The Magnetic Fields</v>
      </c>
      <c r="B28" s="30">
        <v>42794</v>
      </c>
      <c r="C28" s="24"/>
      <c r="D28" s="24"/>
    </row>
    <row r="29" spans="1:4" ht="12.75">
      <c r="A29" s="26" t="s">
        <v>2</v>
      </c>
      <c r="B29" s="26" t="s">
        <v>3</v>
      </c>
      <c r="C29" s="26" t="s">
        <v>4</v>
      </c>
      <c r="D29" s="26" t="s">
        <v>5</v>
      </c>
    </row>
    <row r="30" spans="1:4" ht="12.75">
      <c r="A30" s="7" t="s">
        <v>2280</v>
      </c>
      <c r="B30" s="8">
        <v>86</v>
      </c>
      <c r="C30" s="9" t="str">
        <f>HYPERLINK("https://en.wikipedia.org/wiki/Distant_Plastic_Trees","Distant Plastic Trees")</f>
        <v>Distant Plastic Trees</v>
      </c>
      <c r="D30" s="7">
        <v>1991</v>
      </c>
    </row>
    <row r="31" spans="1:4" ht="12.75">
      <c r="A31" s="27" t="s">
        <v>2281</v>
      </c>
      <c r="B31" s="28">
        <v>77</v>
      </c>
      <c r="C31" s="29" t="str">
        <f t="shared" ref="C31:C34" si="5">HYPERLINK("https://en.wikipedia.org/wiki/69_Love_Songs","69 Love Songs")</f>
        <v>69 Love Songs</v>
      </c>
      <c r="D31" s="27">
        <v>1999</v>
      </c>
    </row>
    <row r="32" spans="1:4" ht="12.75">
      <c r="A32" s="7" t="s">
        <v>2282</v>
      </c>
      <c r="B32" s="8">
        <v>73</v>
      </c>
      <c r="C32" s="9" t="str">
        <f t="shared" si="5"/>
        <v>69 Love Songs</v>
      </c>
      <c r="D32" s="7">
        <v>1999</v>
      </c>
    </row>
    <row r="33" spans="1:4" ht="12.75">
      <c r="A33" s="27" t="s">
        <v>2283</v>
      </c>
      <c r="B33" s="28">
        <v>71</v>
      </c>
      <c r="C33" s="29" t="str">
        <f t="shared" si="5"/>
        <v>69 Love Songs</v>
      </c>
      <c r="D33" s="27">
        <v>1999</v>
      </c>
    </row>
    <row r="34" spans="1:4" ht="12.75">
      <c r="A34" s="19" t="s">
        <v>2284</v>
      </c>
      <c r="B34" s="49">
        <v>59</v>
      </c>
      <c r="C34" s="9" t="str">
        <f t="shared" si="5"/>
        <v>69 Love Songs</v>
      </c>
      <c r="D34" s="19">
        <v>1999</v>
      </c>
    </row>
    <row r="35" spans="1:4" ht="12.75">
      <c r="A35" s="27" t="s">
        <v>2285</v>
      </c>
      <c r="B35" s="28">
        <v>56</v>
      </c>
      <c r="C35" s="29" t="str">
        <f>HYPERLINK("https://en.wikipedia.org/wiki/Get_Lost_(The_Magnetic_Fields_album)","Get Lost")</f>
        <v>Get Lost</v>
      </c>
      <c r="D35" s="27">
        <v>1995</v>
      </c>
    </row>
    <row r="36" spans="1:4" ht="12.75">
      <c r="A36" s="19" t="s">
        <v>2286</v>
      </c>
      <c r="B36" s="49">
        <v>53</v>
      </c>
      <c r="C36" s="9" t="str">
        <f>HYPERLINK("https://en.wikipedia.org/wiki/Holiday_(The_Magnetic_Fields_album)","Holiday")</f>
        <v>Holiday</v>
      </c>
      <c r="D36" s="19">
        <v>1994</v>
      </c>
    </row>
    <row r="37" spans="1:4" ht="12.75">
      <c r="A37" s="27" t="s">
        <v>2287</v>
      </c>
      <c r="B37" s="28">
        <v>49</v>
      </c>
      <c r="C37" s="29" t="str">
        <f>HYPERLINK("https://en.wikipedia.org/wiki/69_Love_Songs","69 Love Songs")</f>
        <v>69 Love Songs</v>
      </c>
      <c r="D37" s="27">
        <v>1999</v>
      </c>
    </row>
    <row r="38" spans="1:4" ht="12.75">
      <c r="A38" s="7" t="s">
        <v>2288</v>
      </c>
      <c r="B38" s="8">
        <v>49</v>
      </c>
      <c r="C38" s="9" t="str">
        <f>HYPERLINK("https://en.wikipedia.org/wiki/Holiday_(The_Magnetic_Fields_album)","Holiday")</f>
        <v>Holiday</v>
      </c>
      <c r="D38" s="7">
        <v>1994</v>
      </c>
    </row>
    <row r="39" spans="1:4" ht="12.75">
      <c r="A39" s="27" t="s">
        <v>2289</v>
      </c>
      <c r="B39" s="28">
        <v>42</v>
      </c>
      <c r="C39" s="29" t="str">
        <f>HYPERLINK("https://en.wikipedia.org/wiki/The_Charm_of_the_Highway_Strip","The Charm of the Highway Strip")</f>
        <v>The Charm of the Highway Strip</v>
      </c>
      <c r="D39" s="27">
        <v>1994</v>
      </c>
    </row>
    <row r="40" spans="1:4" ht="12.75">
      <c r="A40" s="152"/>
      <c r="B40" s="153"/>
      <c r="C40" s="153"/>
      <c r="D40" s="154"/>
    </row>
    <row r="41" spans="1:4" ht="18">
      <c r="A41" s="22" t="str">
        <f>HYPERLINK("https://www.reddit.com/r/indieheads/comments/asa8hr/top_ten_tuesday_manchester_orchestra/","Manchester Orchestra")</f>
        <v>Manchester Orchestra</v>
      </c>
      <c r="B41" s="30">
        <v>43515</v>
      </c>
      <c r="C41" s="24"/>
      <c r="D41" s="32" t="s">
        <v>1</v>
      </c>
    </row>
    <row r="42" spans="1:4" ht="12.75">
      <c r="A42" s="26" t="s">
        <v>2</v>
      </c>
      <c r="B42" s="26" t="s">
        <v>3</v>
      </c>
      <c r="C42" s="26" t="s">
        <v>4</v>
      </c>
      <c r="D42" s="26" t="s">
        <v>5</v>
      </c>
    </row>
    <row r="43" spans="1:4" ht="12.75">
      <c r="A43" s="7" t="s">
        <v>2290</v>
      </c>
      <c r="B43" s="8">
        <v>196</v>
      </c>
      <c r="C43" s="9" t="str">
        <f>HYPERLINK("https://en.wikipedia.org/wiki/Simple_Math","Simple Math")</f>
        <v>Simple Math</v>
      </c>
      <c r="D43" s="7">
        <v>2011</v>
      </c>
    </row>
    <row r="44" spans="1:4" ht="12.75">
      <c r="A44" s="27" t="s">
        <v>1334</v>
      </c>
      <c r="B44" s="28">
        <v>189</v>
      </c>
      <c r="C44" s="29" t="str">
        <f>HYPERLINK("https://en.wikipedia.org/wiki/Mean_Everything_to_Nothing","Mean Everything to Nothing")</f>
        <v>Mean Everything to Nothing</v>
      </c>
      <c r="D44" s="27">
        <v>2009</v>
      </c>
    </row>
    <row r="45" spans="1:4" ht="12.75">
      <c r="A45" s="7" t="s">
        <v>2291</v>
      </c>
      <c r="B45" s="8">
        <v>188</v>
      </c>
      <c r="C45" s="9" t="str">
        <f>HYPERLINK("https://en.wikipedia.org/wiki/I%27m_Like_a_Virgin_Losing_a_Child","I'm Like a Virgin Losing a Child")</f>
        <v>I'm Like a Virgin Losing a Child</v>
      </c>
      <c r="D45" s="7">
        <v>2006</v>
      </c>
    </row>
    <row r="46" spans="1:4" ht="12.75">
      <c r="A46" s="27" t="s">
        <v>2292</v>
      </c>
      <c r="B46" s="28">
        <v>186</v>
      </c>
      <c r="C46" s="29" t="str">
        <f t="shared" ref="C46:C47" si="6">HYPERLINK("https://en.wikipedia.org/wiki/Mean_Everything_to_Nothing","Mean Everything to Nothing")</f>
        <v>Mean Everything to Nothing</v>
      </c>
      <c r="D46" s="27">
        <v>2009</v>
      </c>
    </row>
    <row r="47" spans="1:4" ht="12.75">
      <c r="A47" s="7" t="s">
        <v>2293</v>
      </c>
      <c r="B47" s="8">
        <v>185</v>
      </c>
      <c r="C47" s="9" t="str">
        <f t="shared" si="6"/>
        <v>Mean Everything to Nothing</v>
      </c>
      <c r="D47" s="7">
        <v>2009</v>
      </c>
    </row>
    <row r="48" spans="1:4" ht="12.75">
      <c r="A48" s="27" t="s">
        <v>2294</v>
      </c>
      <c r="B48" s="28">
        <v>145</v>
      </c>
      <c r="C48" s="29" t="str">
        <f>HYPERLINK("https://en.wikipedia.org/wiki/I%27m_Like_a_Virgin_Losing_a_Child","I'm Like a Virgin Losing a Child")</f>
        <v>I'm Like a Virgin Losing a Child</v>
      </c>
      <c r="D48" s="27">
        <v>2006</v>
      </c>
    </row>
    <row r="49" spans="1:4" ht="12.75">
      <c r="A49" s="7" t="s">
        <v>2295</v>
      </c>
      <c r="B49" s="8">
        <v>137</v>
      </c>
      <c r="C49" s="9" t="str">
        <f>HYPERLINK("https://en.wikipedia.org/wiki/A_Black_Mile_to_the_Surface","A Black Mile to the Surface")</f>
        <v>A Black Mile to the Surface</v>
      </c>
      <c r="D49" s="7">
        <v>2017</v>
      </c>
    </row>
    <row r="50" spans="1:4" ht="12.75">
      <c r="A50" s="27" t="s">
        <v>604</v>
      </c>
      <c r="B50" s="28">
        <v>127</v>
      </c>
      <c r="C50" s="29" t="str">
        <f t="shared" ref="C50:C51" si="7">HYPERLINK("https://en.wikipedia.org/wiki/Mean_Everything_to_Nothing","Mean Everything to Nothing")</f>
        <v>Mean Everything to Nothing</v>
      </c>
      <c r="D50" s="27">
        <v>2009</v>
      </c>
    </row>
    <row r="51" spans="1:4" ht="12.75">
      <c r="A51" s="7" t="s">
        <v>2296</v>
      </c>
      <c r="B51" s="8">
        <v>101</v>
      </c>
      <c r="C51" s="9" t="str">
        <f t="shared" si="7"/>
        <v>Mean Everything to Nothing</v>
      </c>
      <c r="D51" s="7">
        <v>2009</v>
      </c>
    </row>
    <row r="52" spans="1:4" ht="12.75">
      <c r="A52" s="27" t="s">
        <v>2297</v>
      </c>
      <c r="B52" s="28">
        <v>92</v>
      </c>
      <c r="C52" s="29" t="str">
        <f>HYPERLINK("https://en.wikipedia.org/wiki/I%27m_Like_a_Virgin_Losing_a_Child","I'm Like a Virgin Losing a Child")</f>
        <v>I'm Like a Virgin Losing a Child</v>
      </c>
      <c r="D52" s="27">
        <v>2006</v>
      </c>
    </row>
    <row r="53" spans="1:4" ht="12.75">
      <c r="A53" s="152"/>
      <c r="B53" s="153"/>
      <c r="C53" s="153"/>
      <c r="D53" s="154"/>
    </row>
    <row r="54" spans="1:4" ht="18">
      <c r="A54" s="22" t="s">
        <v>2298</v>
      </c>
      <c r="B54" s="30">
        <v>44565</v>
      </c>
      <c r="C54" s="24"/>
      <c r="D54" s="32" t="s">
        <v>1</v>
      </c>
    </row>
    <row r="55" spans="1:4" ht="12.75">
      <c r="A55" s="26" t="s">
        <v>2</v>
      </c>
      <c r="B55" s="26" t="s">
        <v>3</v>
      </c>
      <c r="C55" s="26" t="s">
        <v>4</v>
      </c>
      <c r="D55" s="26" t="s">
        <v>5</v>
      </c>
    </row>
    <row r="56" spans="1:4" ht="12.75">
      <c r="A56" s="7" t="s">
        <v>2299</v>
      </c>
      <c r="B56" s="8">
        <v>131</v>
      </c>
      <c r="C56" s="9" t="s">
        <v>2300</v>
      </c>
      <c r="D56" s="7">
        <v>1992</v>
      </c>
    </row>
    <row r="57" spans="1:4" ht="12.75">
      <c r="A57" s="27" t="s">
        <v>2301</v>
      </c>
      <c r="B57" s="28">
        <v>129</v>
      </c>
      <c r="C57" s="12" t="s">
        <v>2302</v>
      </c>
      <c r="D57" s="10">
        <v>1994</v>
      </c>
    </row>
    <row r="58" spans="1:4" ht="12.75">
      <c r="A58" s="7" t="s">
        <v>2303</v>
      </c>
      <c r="B58" s="8">
        <v>112</v>
      </c>
      <c r="C58" s="9" t="s">
        <v>2302</v>
      </c>
      <c r="D58" s="7">
        <v>1994</v>
      </c>
    </row>
    <row r="59" spans="1:4" ht="12.75">
      <c r="A59" s="27" t="s">
        <v>2304</v>
      </c>
      <c r="B59" s="28">
        <v>108</v>
      </c>
      <c r="C59" s="29" t="s">
        <v>2305</v>
      </c>
      <c r="D59" s="27">
        <v>1996</v>
      </c>
    </row>
    <row r="60" spans="1:4" ht="12.75">
      <c r="A60" s="7" t="s">
        <v>2306</v>
      </c>
      <c r="B60" s="8">
        <v>78</v>
      </c>
      <c r="C60" s="9" t="s">
        <v>2302</v>
      </c>
      <c r="D60" s="7">
        <v>1994</v>
      </c>
    </row>
    <row r="61" spans="1:4" ht="12.75">
      <c r="A61" s="27" t="s">
        <v>2307</v>
      </c>
      <c r="B61" s="28">
        <v>57</v>
      </c>
      <c r="C61" s="29" t="s">
        <v>2308</v>
      </c>
      <c r="D61" s="27">
        <v>1998</v>
      </c>
    </row>
    <row r="62" spans="1:4" ht="12.75">
      <c r="A62" s="7" t="s">
        <v>2309</v>
      </c>
      <c r="B62" s="8">
        <v>55</v>
      </c>
      <c r="C62" s="9" t="s">
        <v>2305</v>
      </c>
      <c r="D62" s="7">
        <v>1996</v>
      </c>
    </row>
    <row r="63" spans="1:4" ht="12.75">
      <c r="A63" s="27" t="s">
        <v>2310</v>
      </c>
      <c r="B63" s="28">
        <v>35</v>
      </c>
      <c r="C63" s="12" t="s">
        <v>2302</v>
      </c>
      <c r="D63" s="10">
        <v>1994</v>
      </c>
    </row>
    <row r="64" spans="1:4" ht="12.75">
      <c r="A64" s="7" t="s">
        <v>2311</v>
      </c>
      <c r="B64" s="8">
        <v>26</v>
      </c>
      <c r="C64" s="9" t="s">
        <v>2300</v>
      </c>
      <c r="D64" s="7">
        <v>1992</v>
      </c>
    </row>
    <row r="65" spans="1:4" ht="12.75">
      <c r="A65" s="27" t="s">
        <v>2312</v>
      </c>
      <c r="B65" s="28">
        <v>25</v>
      </c>
      <c r="C65" s="12" t="s">
        <v>2302</v>
      </c>
      <c r="D65" s="10">
        <v>1994</v>
      </c>
    </row>
    <row r="66" spans="1:4" ht="12.75">
      <c r="A66" s="152"/>
      <c r="B66" s="153"/>
      <c r="C66" s="153"/>
      <c r="D66" s="154"/>
    </row>
    <row r="67" spans="1:4" ht="18">
      <c r="A67" s="22" t="str">
        <f>HYPERLINK("https://www.reddit.com/r/indieheads/comments/79v2j2/top_ten_tuesday_the_mars_volta/","The Mars Volta")</f>
        <v>The Mars Volta</v>
      </c>
      <c r="B67" s="43">
        <v>43039</v>
      </c>
      <c r="C67" s="24"/>
      <c r="D67" s="24"/>
    </row>
    <row r="68" spans="1:4" ht="12.75">
      <c r="A68" s="26" t="s">
        <v>2</v>
      </c>
      <c r="B68" s="26" t="s">
        <v>3</v>
      </c>
      <c r="C68" s="26" t="s">
        <v>4</v>
      </c>
      <c r="D68" s="26" t="s">
        <v>5</v>
      </c>
    </row>
    <row r="69" spans="1:4" ht="12.75">
      <c r="A69" s="7" t="s">
        <v>2313</v>
      </c>
      <c r="B69" s="8">
        <v>151</v>
      </c>
      <c r="C69" s="9" t="str">
        <f t="shared" ref="C69:C71" si="8">HYPERLINK("https://en.wikipedia.org/wiki/Frances_the_Mute","Frances the Mute")</f>
        <v>Frances the Mute</v>
      </c>
      <c r="D69" s="7">
        <v>2005</v>
      </c>
    </row>
    <row r="70" spans="1:4" ht="12.75">
      <c r="A70" s="27" t="s">
        <v>2314</v>
      </c>
      <c r="B70" s="28">
        <v>121</v>
      </c>
      <c r="C70" s="29" t="str">
        <f t="shared" si="8"/>
        <v>Frances the Mute</v>
      </c>
      <c r="D70" s="27">
        <v>2005</v>
      </c>
    </row>
    <row r="71" spans="1:4" ht="12.75">
      <c r="A71" s="7" t="s">
        <v>2315</v>
      </c>
      <c r="B71" s="8">
        <v>119</v>
      </c>
      <c r="C71" s="9" t="str">
        <f t="shared" si="8"/>
        <v>Frances the Mute</v>
      </c>
      <c r="D71" s="7">
        <v>2005</v>
      </c>
    </row>
    <row r="72" spans="1:4" ht="12.75">
      <c r="A72" s="27" t="s">
        <v>2316</v>
      </c>
      <c r="B72" s="28">
        <v>114</v>
      </c>
      <c r="C72" s="29" t="str">
        <f t="shared" ref="C72:C74" si="9">HYPERLINK("https://en.wikipedia.org/wiki/De-Loused_in_the_Comatorium","De-Loused in the Comatorium")</f>
        <v>De-Loused in the Comatorium</v>
      </c>
      <c r="D72" s="27">
        <v>2003</v>
      </c>
    </row>
    <row r="73" spans="1:4" ht="12.75">
      <c r="A73" s="7" t="s">
        <v>2317</v>
      </c>
      <c r="B73" s="8">
        <v>114</v>
      </c>
      <c r="C73" s="9" t="str">
        <f t="shared" si="9"/>
        <v>De-Loused in the Comatorium</v>
      </c>
      <c r="D73" s="7">
        <v>2003</v>
      </c>
    </row>
    <row r="74" spans="1:4" ht="12.75">
      <c r="A74" s="27" t="s">
        <v>2318</v>
      </c>
      <c r="B74" s="28">
        <v>92</v>
      </c>
      <c r="C74" s="29" t="str">
        <f t="shared" si="9"/>
        <v>De-Loused in the Comatorium</v>
      </c>
      <c r="D74" s="27">
        <v>2003</v>
      </c>
    </row>
    <row r="75" spans="1:4" ht="12.75">
      <c r="A75" s="7" t="s">
        <v>2319</v>
      </c>
      <c r="B75" s="8">
        <v>81</v>
      </c>
      <c r="C75" s="9" t="str">
        <f>HYPERLINK("https://en.wikipedia.org/wiki/Amputechture","Amputechture")</f>
        <v>Amputechture</v>
      </c>
      <c r="D75" s="7">
        <v>2006</v>
      </c>
    </row>
    <row r="76" spans="1:4" ht="12.75">
      <c r="A76" s="27" t="s">
        <v>2320</v>
      </c>
      <c r="B76" s="28">
        <v>68</v>
      </c>
      <c r="C76" s="29" t="str">
        <f>HYPERLINK("https://en.wikipedia.org/wiki/De-Loused_in_the_Comatorium","De-Loused in the Comatorium")</f>
        <v>De-Loused in the Comatorium</v>
      </c>
      <c r="D76" s="27">
        <v>2003</v>
      </c>
    </row>
    <row r="77" spans="1:4" ht="12.75">
      <c r="A77" s="7" t="s">
        <v>2321</v>
      </c>
      <c r="B77" s="8">
        <v>65</v>
      </c>
      <c r="C77" s="9" t="str">
        <f>HYPERLINK("https://en.wikipedia.org/wiki/The_Bedlam_in_Goliath","The Bedlam in Goliath")</f>
        <v>The Bedlam in Goliath</v>
      </c>
      <c r="D77" s="7">
        <v>2008</v>
      </c>
    </row>
    <row r="78" spans="1:4" ht="12.75">
      <c r="A78" s="27" t="s">
        <v>2322</v>
      </c>
      <c r="B78" s="28">
        <v>55</v>
      </c>
      <c r="C78" s="29" t="str">
        <f>HYPERLINK("https://en.wikipedia.org/wiki/De-Loused_in_the_Comatorium","De-Loused in the Comatorium")</f>
        <v>De-Loused in the Comatorium</v>
      </c>
      <c r="D78" s="27">
        <v>2003</v>
      </c>
    </row>
    <row r="79" spans="1:4" ht="12.75">
      <c r="A79" s="152"/>
      <c r="B79" s="153"/>
      <c r="C79" s="153"/>
      <c r="D79" s="154"/>
    </row>
    <row r="80" spans="1:4" ht="18">
      <c r="A80" s="22" t="str">
        <f>HYPERLINK("https://www.reddit.com/r/indieheads/comments/95cmpj/top_ten_tuesday_massive_attack/","Massive Attack")</f>
        <v>Massive Attack</v>
      </c>
      <c r="B80" s="30">
        <v>43319</v>
      </c>
      <c r="C80" s="24"/>
      <c r="D80" s="32" t="s">
        <v>1</v>
      </c>
    </row>
    <row r="81" spans="1:4" ht="12.75">
      <c r="A81" s="26" t="s">
        <v>2</v>
      </c>
      <c r="B81" s="26" t="s">
        <v>3</v>
      </c>
      <c r="C81" s="26" t="s">
        <v>4</v>
      </c>
      <c r="D81" s="26" t="s">
        <v>5</v>
      </c>
    </row>
    <row r="82" spans="1:4" ht="12.75">
      <c r="A82" s="7" t="s">
        <v>2323</v>
      </c>
      <c r="B82" s="8">
        <v>114</v>
      </c>
      <c r="C82" s="9" t="str">
        <f t="shared" ref="C82:C85" si="10">HYPERLINK("https://en.wikipedia.org/wiki/Mezzanine_(album)","Mezzanine")</f>
        <v>Mezzanine</v>
      </c>
      <c r="D82" s="7">
        <v>1998</v>
      </c>
    </row>
    <row r="83" spans="1:4" ht="12.75">
      <c r="A83" s="27" t="s">
        <v>2324</v>
      </c>
      <c r="B83" s="28">
        <v>100</v>
      </c>
      <c r="C83" s="29" t="str">
        <f t="shared" si="10"/>
        <v>Mezzanine</v>
      </c>
      <c r="D83" s="27">
        <v>1997</v>
      </c>
    </row>
    <row r="84" spans="1:4" ht="12.75">
      <c r="A84" s="7" t="s">
        <v>2325</v>
      </c>
      <c r="B84" s="8">
        <v>88</v>
      </c>
      <c r="C84" s="9" t="str">
        <f t="shared" si="10"/>
        <v>Mezzanine</v>
      </c>
      <c r="D84" s="7">
        <v>1998</v>
      </c>
    </row>
    <row r="85" spans="1:4" ht="12.75">
      <c r="A85" s="27" t="s">
        <v>2326</v>
      </c>
      <c r="B85" s="28">
        <v>83</v>
      </c>
      <c r="C85" s="29" t="str">
        <f t="shared" si="10"/>
        <v>Mezzanine</v>
      </c>
      <c r="D85" s="27">
        <v>1998</v>
      </c>
    </row>
    <row r="86" spans="1:4" ht="12.75">
      <c r="A86" s="7" t="s">
        <v>2327</v>
      </c>
      <c r="B86" s="8">
        <v>83</v>
      </c>
      <c r="C86" s="9" t="str">
        <f>HYPERLINK("https://en.wikipedia.org/wiki/Blue_Lines","Blue Lines")</f>
        <v>Blue Lines</v>
      </c>
      <c r="D86" s="7">
        <v>1991</v>
      </c>
    </row>
    <row r="87" spans="1:4" ht="12.75">
      <c r="A87" s="27" t="s">
        <v>2328</v>
      </c>
      <c r="B87" s="28">
        <v>81</v>
      </c>
      <c r="C87" s="29" t="str">
        <f>HYPERLINK("https://en.wikipedia.org/wiki/Protection_(Massive_Attack_album)","Protection")</f>
        <v>Protection</v>
      </c>
      <c r="D87" s="27">
        <v>1994</v>
      </c>
    </row>
    <row r="88" spans="1:4" ht="12.75">
      <c r="A88" s="7" t="s">
        <v>2329</v>
      </c>
      <c r="B88" s="8">
        <v>80</v>
      </c>
      <c r="C88" s="9" t="str">
        <f>HYPERLINK("https://en.wikipedia.org/wiki/Blue_Lines","Blue Lines")</f>
        <v>Blue Lines</v>
      </c>
      <c r="D88" s="7">
        <v>1991</v>
      </c>
    </row>
    <row r="89" spans="1:4" ht="12.75">
      <c r="A89" s="27" t="s">
        <v>2330</v>
      </c>
      <c r="B89" s="28">
        <v>60</v>
      </c>
      <c r="C89" s="29" t="str">
        <f>HYPERLINK("https://en.wikipedia.org/wiki/Mezzanine_(album)","Mezzanine")</f>
        <v>Mezzanine</v>
      </c>
      <c r="D89" s="27">
        <v>1998</v>
      </c>
    </row>
    <row r="90" spans="1:4" ht="12.75">
      <c r="A90" s="7" t="s">
        <v>2331</v>
      </c>
      <c r="B90" s="8">
        <v>44</v>
      </c>
      <c r="C90" s="9" t="str">
        <f>HYPERLINK("https://en.wikipedia.org/wiki/Protection_(Massive_Attack_album)","Protection")</f>
        <v>Protection</v>
      </c>
      <c r="D90" s="7">
        <v>1994</v>
      </c>
    </row>
    <row r="91" spans="1:4" ht="12.75">
      <c r="A91" s="27" t="s">
        <v>2332</v>
      </c>
      <c r="B91" s="28">
        <v>36</v>
      </c>
      <c r="C91" s="29" t="str">
        <f>HYPERLINK("https://en.wikipedia.org/wiki/Mezzanine_(album)","Mezzanine")</f>
        <v>Mezzanine</v>
      </c>
      <c r="D91" s="27">
        <v>1998</v>
      </c>
    </row>
    <row r="92" spans="1:4" ht="12.75">
      <c r="A92" s="152"/>
      <c r="B92" s="153"/>
      <c r="C92" s="153"/>
      <c r="D92" s="154"/>
    </row>
    <row r="93" spans="1:4" ht="18">
      <c r="A93" s="22" t="str">
        <f>HYPERLINK("https://www.reddit.com/r/indieheads/comments/elap75/top_ten_tuesday_mazzy_star/","Mazzy Star")</f>
        <v>Mazzy Star</v>
      </c>
      <c r="B93" s="30">
        <v>43837</v>
      </c>
      <c r="C93" s="24"/>
      <c r="D93" s="32" t="s">
        <v>1</v>
      </c>
    </row>
    <row r="94" spans="1:4" ht="12.75">
      <c r="A94" s="26" t="s">
        <v>2</v>
      </c>
      <c r="B94" s="26" t="s">
        <v>3</v>
      </c>
      <c r="C94" s="26" t="s">
        <v>4</v>
      </c>
      <c r="D94" s="26" t="s">
        <v>5</v>
      </c>
    </row>
    <row r="95" spans="1:4" ht="12.75">
      <c r="A95" s="7" t="s">
        <v>2333</v>
      </c>
      <c r="B95" s="8">
        <v>110</v>
      </c>
      <c r="C95" s="9" t="str">
        <f>HYPERLINK("https://en.wikipedia.org/wiki/So_Tonight_That_I_Might_See","So Tonight That I Might See")</f>
        <v>So Tonight That I Might See</v>
      </c>
      <c r="D95" s="7">
        <v>1993</v>
      </c>
    </row>
    <row r="96" spans="1:4" ht="12.75">
      <c r="A96" s="27" t="s">
        <v>2334</v>
      </c>
      <c r="B96" s="28">
        <v>63</v>
      </c>
      <c r="C96" s="29" t="str">
        <f t="shared" ref="C96:C97" si="11">HYPERLINK("https://en.wikipedia.org/wiki/Among_My_Swan","Among My Swan")</f>
        <v>Among My Swan</v>
      </c>
      <c r="D96" s="27">
        <v>1996</v>
      </c>
    </row>
    <row r="97" spans="1:4" ht="12.75">
      <c r="A97" s="7" t="s">
        <v>2335</v>
      </c>
      <c r="B97" s="8">
        <v>63</v>
      </c>
      <c r="C97" s="9" t="str">
        <f t="shared" si="11"/>
        <v>Among My Swan</v>
      </c>
      <c r="D97" s="7">
        <v>1996</v>
      </c>
    </row>
    <row r="98" spans="1:4" ht="12.75">
      <c r="A98" s="27" t="s">
        <v>2336</v>
      </c>
      <c r="B98" s="28">
        <v>61</v>
      </c>
      <c r="C98" s="29" t="str">
        <f>HYPERLINK("https://en.wikipedia.org/wiki/So_Tonight_That_I_Might_See","So Tonight That I Might See")</f>
        <v>So Tonight That I Might See</v>
      </c>
      <c r="D98" s="27">
        <v>1993</v>
      </c>
    </row>
    <row r="99" spans="1:4" ht="12.75">
      <c r="A99" s="7" t="s">
        <v>2337</v>
      </c>
      <c r="B99" s="8">
        <v>59</v>
      </c>
      <c r="C99" s="9" t="str">
        <f t="shared" ref="C99:C100" si="12">HYPERLINK("https://en.wikipedia.org/wiki/She_Hangs_Brightly","She Hangs Brightly")</f>
        <v>She Hangs Brightly</v>
      </c>
      <c r="D99" s="7">
        <v>1990</v>
      </c>
    </row>
    <row r="100" spans="1:4" ht="12.75">
      <c r="A100" s="27" t="s">
        <v>2338</v>
      </c>
      <c r="B100" s="28">
        <v>55</v>
      </c>
      <c r="C100" s="29" t="str">
        <f t="shared" si="12"/>
        <v>She Hangs Brightly</v>
      </c>
      <c r="D100" s="27">
        <v>1990</v>
      </c>
    </row>
    <row r="101" spans="1:4" ht="12.75">
      <c r="A101" s="7" t="s">
        <v>2339</v>
      </c>
      <c r="B101" s="8">
        <v>50</v>
      </c>
      <c r="C101" s="9" t="str">
        <f>HYPERLINK("https://en.wikipedia.org/wiki/So_Tonight_That_I_Might_See","So Tonight That I Might See")</f>
        <v>So Tonight That I Might See</v>
      </c>
      <c r="D101" s="7">
        <v>1993</v>
      </c>
    </row>
    <row r="102" spans="1:4" ht="12.75">
      <c r="A102" s="27" t="s">
        <v>2340</v>
      </c>
      <c r="B102" s="28">
        <v>45</v>
      </c>
      <c r="C102" s="29" t="str">
        <f t="shared" ref="C102:C104" si="13">HYPERLINK("https://en.wikipedia.org/wiki/Among_My_Swan","Among My Swan")</f>
        <v>Among My Swan</v>
      </c>
      <c r="D102" s="27">
        <v>1996</v>
      </c>
    </row>
    <row r="103" spans="1:4" ht="12.75">
      <c r="A103" s="7" t="s">
        <v>2341</v>
      </c>
      <c r="B103" s="8">
        <v>35</v>
      </c>
      <c r="C103" s="9" t="str">
        <f t="shared" si="13"/>
        <v>Among My Swan</v>
      </c>
      <c r="D103" s="7">
        <v>1996</v>
      </c>
    </row>
    <row r="104" spans="1:4" ht="12.75">
      <c r="A104" s="27" t="s">
        <v>2342</v>
      </c>
      <c r="B104" s="28">
        <v>32</v>
      </c>
      <c r="C104" s="29" t="str">
        <f t="shared" si="13"/>
        <v>Among My Swan</v>
      </c>
      <c r="D104" s="27">
        <v>1996</v>
      </c>
    </row>
    <row r="105" spans="1:4" ht="12.75">
      <c r="A105" s="155"/>
      <c r="B105" s="156"/>
      <c r="C105" s="156"/>
      <c r="D105" s="156"/>
    </row>
    <row r="106" spans="1:4" ht="18">
      <c r="A106" s="13" t="s">
        <v>2343</v>
      </c>
      <c r="B106" s="14">
        <v>44929</v>
      </c>
      <c r="C106" s="15"/>
      <c r="D106" s="15"/>
    </row>
    <row r="107" spans="1:4" ht="12.75">
      <c r="A107" s="15" t="s">
        <v>2</v>
      </c>
      <c r="B107" s="15" t="s">
        <v>3</v>
      </c>
      <c r="C107" s="15" t="s">
        <v>4</v>
      </c>
      <c r="D107" s="15" t="s">
        <v>5</v>
      </c>
    </row>
    <row r="108" spans="1:4" ht="12.75">
      <c r="A108" s="16" t="s">
        <v>2344</v>
      </c>
      <c r="B108" s="16">
        <v>157</v>
      </c>
      <c r="C108" s="16" t="s">
        <v>2345</v>
      </c>
      <c r="D108" s="16">
        <v>2019</v>
      </c>
    </row>
    <row r="109" spans="1:4" ht="12.75">
      <c r="A109" s="17" t="s">
        <v>2346</v>
      </c>
      <c r="B109" s="17">
        <v>103</v>
      </c>
      <c r="C109" s="17" t="s">
        <v>2347</v>
      </c>
      <c r="D109" s="17">
        <v>2021</v>
      </c>
    </row>
    <row r="110" spans="1:4" ht="12.75">
      <c r="A110" s="16" t="s">
        <v>2348</v>
      </c>
      <c r="B110" s="16">
        <v>85</v>
      </c>
      <c r="C110" s="16" t="s">
        <v>2345</v>
      </c>
      <c r="D110" s="16">
        <v>2019</v>
      </c>
    </row>
    <row r="111" spans="1:4" ht="12.75">
      <c r="A111" s="17" t="s">
        <v>2349</v>
      </c>
      <c r="B111" s="17">
        <v>83</v>
      </c>
      <c r="C111" s="17" t="s">
        <v>1594</v>
      </c>
      <c r="D111" s="17">
        <v>2022</v>
      </c>
    </row>
    <row r="112" spans="1:4" ht="12.75">
      <c r="A112" s="16" t="s">
        <v>2350</v>
      </c>
      <c r="B112" s="16">
        <v>82</v>
      </c>
      <c r="C112" s="16" t="s">
        <v>2345</v>
      </c>
      <c r="D112" s="16">
        <v>2019</v>
      </c>
    </row>
    <row r="113" spans="1:4" ht="12.75">
      <c r="A113" s="17" t="s">
        <v>2351</v>
      </c>
      <c r="B113" s="17">
        <v>69</v>
      </c>
      <c r="C113" s="17" t="s">
        <v>2345</v>
      </c>
      <c r="D113" s="17">
        <v>2019</v>
      </c>
    </row>
    <row r="114" spans="1:4" ht="12.75">
      <c r="A114" s="16" t="s">
        <v>2352</v>
      </c>
      <c r="B114" s="16">
        <v>66</v>
      </c>
      <c r="C114" s="16" t="s">
        <v>2345</v>
      </c>
      <c r="D114" s="16">
        <v>2019</v>
      </c>
    </row>
    <row r="115" spans="1:4" ht="12.75">
      <c r="A115" s="17" t="s">
        <v>2353</v>
      </c>
      <c r="B115" s="17">
        <v>64</v>
      </c>
      <c r="C115" s="17" t="s">
        <v>2347</v>
      </c>
      <c r="D115" s="17">
        <v>2021</v>
      </c>
    </row>
    <row r="116" spans="1:4" ht="12.75">
      <c r="A116" s="16" t="s">
        <v>2354</v>
      </c>
      <c r="B116" s="16">
        <v>58</v>
      </c>
      <c r="C116" s="16" t="s">
        <v>2347</v>
      </c>
      <c r="D116" s="16">
        <v>2021</v>
      </c>
    </row>
    <row r="117" spans="1:4" ht="12.75">
      <c r="A117" s="17" t="s">
        <v>2355</v>
      </c>
      <c r="B117" s="17">
        <v>52</v>
      </c>
      <c r="C117" s="17" t="s">
        <v>2345</v>
      </c>
      <c r="D117" s="17">
        <v>2019</v>
      </c>
    </row>
    <row r="118" spans="1:4" ht="12.75">
      <c r="A118" s="152"/>
      <c r="B118" s="153"/>
      <c r="C118" s="153"/>
      <c r="D118" s="154"/>
    </row>
    <row r="119" spans="1:4" ht="18">
      <c r="A119" s="22" t="s">
        <v>2356</v>
      </c>
      <c r="B119" s="30">
        <v>44082</v>
      </c>
      <c r="C119" s="24"/>
      <c r="D119" s="32" t="s">
        <v>1</v>
      </c>
    </row>
    <row r="120" spans="1:4" ht="12.75">
      <c r="A120" s="26" t="s">
        <v>2</v>
      </c>
      <c r="B120" s="26" t="s">
        <v>3</v>
      </c>
      <c r="C120" s="26" t="s">
        <v>4</v>
      </c>
      <c r="D120" s="26" t="s">
        <v>5</v>
      </c>
    </row>
    <row r="121" spans="1:4" ht="12.75">
      <c r="A121" s="7" t="s">
        <v>2357</v>
      </c>
      <c r="B121" s="8">
        <v>55</v>
      </c>
      <c r="C121" s="9" t="s">
        <v>2358</v>
      </c>
      <c r="D121" s="7">
        <v>1998</v>
      </c>
    </row>
    <row r="122" spans="1:4" ht="12.75">
      <c r="A122" s="27" t="s">
        <v>2359</v>
      </c>
      <c r="B122" s="28">
        <v>55</v>
      </c>
      <c r="C122" s="29" t="s">
        <v>2358</v>
      </c>
      <c r="D122" s="27">
        <v>1998</v>
      </c>
    </row>
    <row r="123" spans="1:4" ht="12.75">
      <c r="A123" s="7" t="s">
        <v>2360</v>
      </c>
      <c r="B123" s="8">
        <v>48</v>
      </c>
      <c r="C123" s="9" t="s">
        <v>2361</v>
      </c>
      <c r="D123" s="7">
        <v>1991</v>
      </c>
    </row>
    <row r="124" spans="1:4" ht="12.75">
      <c r="A124" s="27" t="s">
        <v>2362</v>
      </c>
      <c r="B124" s="28">
        <v>41</v>
      </c>
      <c r="C124" s="29" t="s">
        <v>2363</v>
      </c>
      <c r="D124" s="27">
        <v>1993</v>
      </c>
    </row>
    <row r="125" spans="1:4" ht="12.75">
      <c r="A125" s="7" t="s">
        <v>2364</v>
      </c>
      <c r="B125" s="8">
        <v>38</v>
      </c>
      <c r="C125" s="9" t="s">
        <v>2361</v>
      </c>
      <c r="D125" s="7">
        <v>1991</v>
      </c>
    </row>
    <row r="126" spans="1:4" ht="12.75">
      <c r="A126" s="27" t="s">
        <v>2365</v>
      </c>
      <c r="B126" s="28">
        <v>38</v>
      </c>
      <c r="C126" s="29" t="s">
        <v>2361</v>
      </c>
      <c r="D126" s="27">
        <v>1991</v>
      </c>
    </row>
    <row r="127" spans="1:4" ht="12.75">
      <c r="A127" s="7" t="s">
        <v>2366</v>
      </c>
      <c r="B127" s="8">
        <v>35</v>
      </c>
      <c r="C127" s="9" t="s">
        <v>2358</v>
      </c>
      <c r="D127" s="7">
        <v>1998</v>
      </c>
    </row>
    <row r="128" spans="1:4" ht="12.75">
      <c r="A128" s="10" t="s">
        <v>2367</v>
      </c>
      <c r="B128" s="11">
        <v>34</v>
      </c>
      <c r="C128" s="12" t="s">
        <v>2358</v>
      </c>
      <c r="D128" s="10">
        <v>1998</v>
      </c>
    </row>
    <row r="129" spans="1:4" ht="12.75">
      <c r="A129" s="7" t="s">
        <v>2368</v>
      </c>
      <c r="B129" s="8">
        <v>31</v>
      </c>
      <c r="C129" s="9" t="s">
        <v>2363</v>
      </c>
      <c r="D129" s="7">
        <v>1993</v>
      </c>
    </row>
    <row r="130" spans="1:4" ht="12.75">
      <c r="A130" s="10" t="s">
        <v>2369</v>
      </c>
      <c r="B130" s="11">
        <v>28</v>
      </c>
      <c r="C130" s="12" t="s">
        <v>2358</v>
      </c>
      <c r="D130" s="10">
        <v>1998</v>
      </c>
    </row>
    <row r="131" spans="1:4" ht="12.75">
      <c r="A131" s="152"/>
      <c r="B131" s="153"/>
      <c r="C131" s="153"/>
      <c r="D131" s="154"/>
    </row>
    <row r="132" spans="1:4" ht="18">
      <c r="A132" s="22" t="str">
        <f>HYPERLINK("https://www.reddit.com/r/indieheads/comments/87hop3/top_ten_tuesday_metronomy/","Metronomy")</f>
        <v>Metronomy</v>
      </c>
      <c r="B132" s="30">
        <v>43186</v>
      </c>
      <c r="C132" s="24"/>
      <c r="D132" s="24"/>
    </row>
    <row r="133" spans="1:4" ht="12.75">
      <c r="A133" s="26" t="s">
        <v>2</v>
      </c>
      <c r="B133" s="26" t="s">
        <v>3</v>
      </c>
      <c r="C133" s="26" t="s">
        <v>4</v>
      </c>
      <c r="D133" s="26" t="s">
        <v>5</v>
      </c>
    </row>
    <row r="134" spans="1:4" ht="12.75">
      <c r="A134" s="7" t="s">
        <v>2370</v>
      </c>
      <c r="B134" s="8">
        <v>117</v>
      </c>
      <c r="C134" s="9" t="str">
        <f t="shared" ref="C134:C135" si="14">HYPERLINK("https://en.wikipedia.org/wiki/The_English_Riviera_(album)","The English Riviera")</f>
        <v>The English Riviera</v>
      </c>
      <c r="D134" s="7">
        <v>2011</v>
      </c>
    </row>
    <row r="135" spans="1:4" ht="12.75">
      <c r="A135" s="27" t="s">
        <v>2371</v>
      </c>
      <c r="B135" s="28">
        <v>116</v>
      </c>
      <c r="C135" s="29" t="str">
        <f t="shared" si="14"/>
        <v>The English Riviera</v>
      </c>
      <c r="D135" s="27">
        <v>2011</v>
      </c>
    </row>
    <row r="136" spans="1:4" ht="12.75">
      <c r="A136" s="7" t="s">
        <v>2372</v>
      </c>
      <c r="B136" s="8">
        <v>64</v>
      </c>
      <c r="C136" s="9" t="str">
        <f>HYPERLINK("https://en.wikipedia.org/wiki/Summer_08","Summer 08")</f>
        <v>Summer 08</v>
      </c>
      <c r="D136" s="7">
        <v>2016</v>
      </c>
    </row>
    <row r="137" spans="1:4" ht="12.75">
      <c r="A137" s="27" t="s">
        <v>2373</v>
      </c>
      <c r="B137" s="28">
        <v>61</v>
      </c>
      <c r="C137" s="29" t="str">
        <f t="shared" ref="C137:C138" si="15">HYPERLINK("https://en.wikipedia.org/wiki/The_English_Riviera_(album)","The English Riviera")</f>
        <v>The English Riviera</v>
      </c>
      <c r="D137" s="27">
        <v>2011</v>
      </c>
    </row>
    <row r="138" spans="1:4" ht="12.75">
      <c r="A138" s="7" t="s">
        <v>2374</v>
      </c>
      <c r="B138" s="8">
        <v>59</v>
      </c>
      <c r="C138" s="9" t="str">
        <f t="shared" si="15"/>
        <v>The English Riviera</v>
      </c>
      <c r="D138" s="7">
        <v>2011</v>
      </c>
    </row>
    <row r="139" spans="1:4" ht="12.75">
      <c r="A139" s="27" t="s">
        <v>2375</v>
      </c>
      <c r="B139" s="28">
        <v>47</v>
      </c>
      <c r="C139" s="29" t="str">
        <f>HYPERLINK("https://en.wikipedia.org/wiki/Love_Letters_(Metronomy_album)","Love Letters")</f>
        <v>Love Letters</v>
      </c>
      <c r="D139" s="27">
        <v>2014</v>
      </c>
    </row>
    <row r="140" spans="1:4" ht="12.75">
      <c r="A140" s="7" t="s">
        <v>1513</v>
      </c>
      <c r="B140" s="8">
        <v>43</v>
      </c>
      <c r="C140" s="9" t="str">
        <f t="shared" ref="C140:C142" si="16">HYPERLINK("https://en.wikipedia.org/wiki/Nights_Out","Nights Out")</f>
        <v>Nights Out</v>
      </c>
      <c r="D140" s="7">
        <v>2008</v>
      </c>
    </row>
    <row r="141" spans="1:4" ht="12.75">
      <c r="A141" s="27" t="s">
        <v>2376</v>
      </c>
      <c r="B141" s="28">
        <v>37</v>
      </c>
      <c r="C141" s="29" t="str">
        <f t="shared" si="16"/>
        <v>Nights Out</v>
      </c>
      <c r="D141" s="27">
        <v>2008</v>
      </c>
    </row>
    <row r="142" spans="1:4" ht="12.75">
      <c r="A142" s="7" t="s">
        <v>2377</v>
      </c>
      <c r="B142" s="8">
        <v>36</v>
      </c>
      <c r="C142" s="9" t="str">
        <f t="shared" si="16"/>
        <v>Nights Out</v>
      </c>
      <c r="D142" s="7">
        <v>2008</v>
      </c>
    </row>
    <row r="143" spans="1:4" ht="12.75">
      <c r="A143" s="27" t="s">
        <v>2378</v>
      </c>
      <c r="B143" s="28">
        <v>34</v>
      </c>
      <c r="C143" s="29" t="str">
        <f>HYPERLINK("https://en.wikipedia.org/wiki/Love_Letters_(Metronomy_album)","Love Letters")</f>
        <v>Love Letters</v>
      </c>
      <c r="D143" s="27">
        <v>2014</v>
      </c>
    </row>
    <row r="144" spans="1:4" ht="12.75">
      <c r="A144" s="152"/>
      <c r="B144" s="153"/>
      <c r="C144" s="153"/>
      <c r="D144" s="154"/>
    </row>
    <row r="145" spans="1:4" ht="18">
      <c r="A145" s="22" t="s">
        <v>2379</v>
      </c>
      <c r="B145" s="30">
        <v>44201</v>
      </c>
      <c r="C145" s="24"/>
      <c r="D145" s="32" t="s">
        <v>1</v>
      </c>
    </row>
    <row r="146" spans="1:4" ht="12.75">
      <c r="A146" s="26" t="s">
        <v>2</v>
      </c>
      <c r="B146" s="26" t="s">
        <v>3</v>
      </c>
      <c r="C146" s="26" t="s">
        <v>4</v>
      </c>
      <c r="D146" s="26" t="s">
        <v>5</v>
      </c>
    </row>
    <row r="147" spans="1:4" ht="12.75">
      <c r="A147" s="7" t="s">
        <v>2380</v>
      </c>
      <c r="B147" s="8">
        <v>573</v>
      </c>
      <c r="C147" s="9" t="s">
        <v>2381</v>
      </c>
      <c r="D147" s="7">
        <v>1999</v>
      </c>
    </row>
    <row r="148" spans="1:4" ht="12.75">
      <c r="A148" s="27" t="s">
        <v>2385</v>
      </c>
      <c r="B148" s="28">
        <v>545</v>
      </c>
      <c r="C148" s="29" t="s">
        <v>2386</v>
      </c>
      <c r="D148" s="27">
        <v>2004</v>
      </c>
    </row>
    <row r="149" spans="1:4" ht="12.75">
      <c r="A149" s="27" t="s">
        <v>2388</v>
      </c>
      <c r="B149" s="28">
        <v>321</v>
      </c>
      <c r="C149" s="29" t="s">
        <v>2386</v>
      </c>
      <c r="D149" s="27">
        <v>2004</v>
      </c>
    </row>
    <row r="150" spans="1:4" ht="12.75">
      <c r="A150" s="7" t="s">
        <v>2389</v>
      </c>
      <c r="B150" s="8">
        <v>317</v>
      </c>
      <c r="C150" s="9" t="s">
        <v>2390</v>
      </c>
      <c r="D150" s="7">
        <v>2009</v>
      </c>
    </row>
    <row r="151" spans="1:4" ht="12.75">
      <c r="A151" s="27"/>
      <c r="B151" s="28"/>
      <c r="C151" s="29"/>
      <c r="D151" s="27"/>
    </row>
    <row r="152" spans="1:4" ht="18">
      <c r="A152" s="128" t="s">
        <v>3946</v>
      </c>
      <c r="B152" s="30">
        <v>44201</v>
      </c>
      <c r="C152" s="24"/>
      <c r="D152" s="32" t="s">
        <v>1</v>
      </c>
    </row>
    <row r="153" spans="1:4" ht="12.75">
      <c r="A153" s="26" t="s">
        <v>2</v>
      </c>
      <c r="B153" s="26" t="s">
        <v>3</v>
      </c>
      <c r="C153" s="26" t="s">
        <v>4</v>
      </c>
      <c r="D153" s="26" t="s">
        <v>5</v>
      </c>
    </row>
    <row r="154" spans="1:4" ht="12.75">
      <c r="A154" s="27" t="s">
        <v>2382</v>
      </c>
      <c r="B154" s="28">
        <v>557</v>
      </c>
      <c r="C154" s="29" t="s">
        <v>2383</v>
      </c>
      <c r="D154" s="27">
        <v>2004</v>
      </c>
    </row>
    <row r="155" spans="1:4" ht="12.75">
      <c r="A155" s="7" t="s">
        <v>2384</v>
      </c>
      <c r="B155" s="8">
        <v>556</v>
      </c>
      <c r="C155" s="9" t="s">
        <v>2383</v>
      </c>
      <c r="D155" s="7">
        <v>2004</v>
      </c>
    </row>
    <row r="156" spans="1:4" ht="12.75">
      <c r="A156" s="7" t="s">
        <v>2387</v>
      </c>
      <c r="B156" s="8">
        <v>436</v>
      </c>
      <c r="C156" s="9" t="s">
        <v>2383</v>
      </c>
      <c r="D156" s="7">
        <v>2004</v>
      </c>
    </row>
    <row r="157" spans="1:4" ht="12.75">
      <c r="A157" s="27" t="s">
        <v>2391</v>
      </c>
      <c r="B157" s="28">
        <v>284</v>
      </c>
      <c r="C157" s="29" t="s">
        <v>2383</v>
      </c>
      <c r="D157" s="27">
        <v>2004</v>
      </c>
    </row>
    <row r="158" spans="1:4" ht="12.75">
      <c r="A158" s="7" t="s">
        <v>2392</v>
      </c>
      <c r="B158" s="8">
        <v>275</v>
      </c>
      <c r="C158" s="9" t="s">
        <v>2383</v>
      </c>
      <c r="D158" s="7">
        <v>2004</v>
      </c>
    </row>
    <row r="159" spans="1:4" ht="12.75">
      <c r="A159" s="27" t="s">
        <v>2393</v>
      </c>
      <c r="B159" s="28">
        <v>264</v>
      </c>
      <c r="C159" s="29" t="s">
        <v>2383</v>
      </c>
      <c r="D159" s="27">
        <v>2004</v>
      </c>
    </row>
    <row r="160" spans="1:4" ht="12.75">
      <c r="A160" s="152"/>
      <c r="B160" s="153"/>
      <c r="C160" s="153"/>
      <c r="D160" s="154"/>
    </row>
    <row r="161" spans="1:4" ht="18">
      <c r="A161" s="41" t="s">
        <v>2394</v>
      </c>
      <c r="B161" s="23">
        <v>44952</v>
      </c>
      <c r="C161" s="24"/>
      <c r="D161" s="24"/>
    </row>
    <row r="162" spans="1:4" ht="12.75">
      <c r="A162" s="26" t="s">
        <v>2</v>
      </c>
      <c r="B162" s="26" t="s">
        <v>3</v>
      </c>
      <c r="C162" s="26" t="s">
        <v>4</v>
      </c>
      <c r="D162" s="26" t="s">
        <v>5</v>
      </c>
    </row>
    <row r="163" spans="1:4" ht="12.75">
      <c r="A163" s="7" t="s">
        <v>2395</v>
      </c>
      <c r="B163" s="8">
        <v>392</v>
      </c>
      <c r="C163" s="19" t="s">
        <v>2395</v>
      </c>
      <c r="D163" s="7">
        <v>2018</v>
      </c>
    </row>
    <row r="164" spans="1:4" ht="12.75">
      <c r="A164" s="10" t="s">
        <v>2396</v>
      </c>
      <c r="B164" s="11">
        <v>380</v>
      </c>
      <c r="C164" s="20" t="s">
        <v>2397</v>
      </c>
      <c r="D164" s="10">
        <v>2007</v>
      </c>
    </row>
    <row r="165" spans="1:4" ht="12.75">
      <c r="A165" s="7" t="s">
        <v>2398</v>
      </c>
      <c r="B165" s="8">
        <v>357</v>
      </c>
      <c r="C165" s="19" t="s">
        <v>2395</v>
      </c>
      <c r="D165" s="7">
        <v>2018</v>
      </c>
    </row>
    <row r="166" spans="1:4" ht="12.75">
      <c r="A166" s="10" t="s">
        <v>2399</v>
      </c>
      <c r="B166" s="11">
        <v>342</v>
      </c>
      <c r="C166" s="20" t="s">
        <v>2400</v>
      </c>
      <c r="D166" s="10">
        <v>2010</v>
      </c>
    </row>
    <row r="167" spans="1:4" ht="12.75">
      <c r="A167" s="7" t="s">
        <v>2401</v>
      </c>
      <c r="B167" s="8">
        <v>316</v>
      </c>
      <c r="C167" s="19" t="s">
        <v>2400</v>
      </c>
      <c r="D167" s="7">
        <v>2010</v>
      </c>
    </row>
    <row r="168" spans="1:4" ht="12.75">
      <c r="A168" s="10" t="s">
        <v>2400</v>
      </c>
      <c r="B168" s="11">
        <v>295</v>
      </c>
      <c r="C168" s="20" t="s">
        <v>2400</v>
      </c>
      <c r="D168" s="10">
        <v>2010</v>
      </c>
    </row>
    <row r="169" spans="1:4" ht="12.75">
      <c r="A169" s="7" t="s">
        <v>2402</v>
      </c>
      <c r="B169" s="8">
        <v>293</v>
      </c>
      <c r="C169" s="19" t="s">
        <v>2397</v>
      </c>
      <c r="D169" s="7">
        <v>2007</v>
      </c>
    </row>
    <row r="170" spans="1:4" ht="12.75">
      <c r="A170" s="10" t="s">
        <v>2403</v>
      </c>
      <c r="B170" s="11">
        <v>265</v>
      </c>
      <c r="C170" s="20" t="s">
        <v>2397</v>
      </c>
      <c r="D170" s="10">
        <v>2007</v>
      </c>
    </row>
    <row r="171" spans="1:4" ht="12.75">
      <c r="A171" s="7" t="s">
        <v>2404</v>
      </c>
      <c r="B171" s="8">
        <v>200</v>
      </c>
      <c r="C171" s="19" t="s">
        <v>2397</v>
      </c>
      <c r="D171" s="7">
        <v>2007</v>
      </c>
    </row>
    <row r="172" spans="1:4" ht="12.75">
      <c r="A172" s="10" t="s">
        <v>2405</v>
      </c>
      <c r="B172" s="11">
        <v>181</v>
      </c>
      <c r="C172" s="20" t="s">
        <v>2395</v>
      </c>
      <c r="D172" s="10">
        <v>2018</v>
      </c>
    </row>
    <row r="173" spans="1:4" ht="12.75">
      <c r="A173" s="152"/>
      <c r="B173" s="153"/>
      <c r="C173" s="153"/>
      <c r="D173" s="154"/>
    </row>
    <row r="174" spans="1:4" ht="18">
      <c r="A174" s="2" t="s">
        <v>2406</v>
      </c>
      <c r="B174" s="3">
        <v>44635</v>
      </c>
      <c r="C174" s="4"/>
      <c r="D174" s="5" t="s">
        <v>1</v>
      </c>
    </row>
    <row r="175" spans="1:4" ht="12.75">
      <c r="A175" s="6" t="s">
        <v>2</v>
      </c>
      <c r="B175" s="6" t="s">
        <v>3</v>
      </c>
      <c r="C175" s="6" t="s">
        <v>4</v>
      </c>
      <c r="D175" s="6" t="s">
        <v>5</v>
      </c>
    </row>
    <row r="176" spans="1:4" ht="12.75">
      <c r="A176" s="7" t="s">
        <v>2407</v>
      </c>
      <c r="B176" s="8">
        <v>160</v>
      </c>
      <c r="C176" s="9" t="s">
        <v>2408</v>
      </c>
      <c r="D176" s="7">
        <v>2007</v>
      </c>
    </row>
    <row r="177" spans="1:4" ht="12.75">
      <c r="A177" s="10" t="s">
        <v>2409</v>
      </c>
      <c r="B177" s="11">
        <v>121</v>
      </c>
      <c r="C177" s="12" t="s">
        <v>2410</v>
      </c>
      <c r="D177" s="10">
        <v>2013</v>
      </c>
    </row>
    <row r="178" spans="1:4" ht="12.75">
      <c r="A178" s="7" t="s">
        <v>2411</v>
      </c>
      <c r="B178" s="8">
        <v>83</v>
      </c>
      <c r="C178" s="9" t="s">
        <v>2408</v>
      </c>
      <c r="D178" s="7">
        <v>2007</v>
      </c>
    </row>
    <row r="179" spans="1:4" ht="12.75">
      <c r="A179" s="10" t="s">
        <v>2412</v>
      </c>
      <c r="B179" s="11">
        <v>69</v>
      </c>
      <c r="C179" s="12" t="s">
        <v>2413</v>
      </c>
      <c r="D179" s="10">
        <v>2005</v>
      </c>
    </row>
    <row r="180" spans="1:4" ht="12.75">
      <c r="A180" s="7" t="s">
        <v>2414</v>
      </c>
      <c r="B180" s="8">
        <v>69</v>
      </c>
      <c r="C180" s="9" t="s">
        <v>2413</v>
      </c>
      <c r="D180" s="7">
        <v>2005</v>
      </c>
    </row>
    <row r="181" spans="1:4" ht="12.75">
      <c r="A181" s="10" t="s">
        <v>2415</v>
      </c>
      <c r="B181" s="11">
        <v>68</v>
      </c>
      <c r="C181" s="12" t="s">
        <v>2413</v>
      </c>
      <c r="D181" s="10">
        <v>2005</v>
      </c>
    </row>
    <row r="182" spans="1:4" ht="12.75">
      <c r="A182" s="7" t="s">
        <v>2416</v>
      </c>
      <c r="B182" s="8">
        <v>65</v>
      </c>
      <c r="C182" s="9" t="s">
        <v>2417</v>
      </c>
      <c r="D182" s="7">
        <v>2010</v>
      </c>
    </row>
    <row r="183" spans="1:4" ht="12.75">
      <c r="A183" s="10" t="s">
        <v>2418</v>
      </c>
      <c r="B183" s="11">
        <v>65</v>
      </c>
      <c r="C183" s="12" t="s">
        <v>2408</v>
      </c>
      <c r="D183" s="10">
        <v>2007</v>
      </c>
    </row>
    <row r="184" spans="1:4" ht="12.75">
      <c r="A184" s="7" t="s">
        <v>2419</v>
      </c>
      <c r="B184" s="8">
        <v>62</v>
      </c>
      <c r="C184" s="9" t="s">
        <v>2408</v>
      </c>
      <c r="D184" s="7">
        <v>2007</v>
      </c>
    </row>
    <row r="185" spans="1:4" ht="12.75">
      <c r="A185" s="10" t="s">
        <v>2420</v>
      </c>
      <c r="B185" s="11">
        <v>39</v>
      </c>
      <c r="C185" s="12" t="s">
        <v>2408</v>
      </c>
      <c r="D185" s="10">
        <v>2007</v>
      </c>
    </row>
    <row r="186" spans="1:4" ht="12.75">
      <c r="A186" s="152"/>
      <c r="B186" s="153"/>
      <c r="C186" s="153"/>
      <c r="D186" s="154"/>
    </row>
    <row r="187" spans="1:4" ht="18">
      <c r="A187" s="128" t="s">
        <v>3935</v>
      </c>
      <c r="B187" s="23">
        <v>43298</v>
      </c>
      <c r="C187" s="24"/>
      <c r="D187" s="32" t="s">
        <v>1</v>
      </c>
    </row>
    <row r="188" spans="1:4" ht="12.75">
      <c r="A188" s="26" t="s">
        <v>2</v>
      </c>
      <c r="B188" s="26" t="s">
        <v>3</v>
      </c>
      <c r="C188" s="26" t="s">
        <v>4</v>
      </c>
      <c r="D188" s="26" t="s">
        <v>5</v>
      </c>
    </row>
    <row r="189" spans="1:4" ht="12.75">
      <c r="A189" s="7" t="s">
        <v>2421</v>
      </c>
      <c r="B189" s="8">
        <v>239</v>
      </c>
      <c r="C189" s="9" t="str">
        <f t="shared" ref="C189:C191" si="17">HYPERLINK("https://en.wikipedia.org/wiki/The_Glow_Pt._2","The Glow Pt. 2")</f>
        <v>The Glow Pt. 2</v>
      </c>
      <c r="D189" s="7">
        <v>2001</v>
      </c>
    </row>
    <row r="190" spans="1:4" ht="12.75">
      <c r="A190" s="10" t="s">
        <v>2422</v>
      </c>
      <c r="B190" s="11">
        <v>229</v>
      </c>
      <c r="C190" s="12" t="str">
        <f t="shared" si="17"/>
        <v>The Glow Pt. 2</v>
      </c>
      <c r="D190" s="10">
        <v>2001</v>
      </c>
    </row>
    <row r="191" spans="1:4" ht="12.75">
      <c r="A191" s="7" t="s">
        <v>2423</v>
      </c>
      <c r="B191" s="8">
        <v>175</v>
      </c>
      <c r="C191" s="9" t="str">
        <f t="shared" si="17"/>
        <v>The Glow Pt. 2</v>
      </c>
      <c r="D191" s="7">
        <v>2001</v>
      </c>
    </row>
    <row r="192" spans="1:4" ht="12.75">
      <c r="A192" s="27" t="s">
        <v>2424</v>
      </c>
      <c r="B192" s="28">
        <v>102</v>
      </c>
      <c r="C192" s="29" t="str">
        <f>HYPERLINK("https://en.wikipedia.org/wiki/Mount_Eerie_(album)","Mount Eerie")</f>
        <v>Mount Eerie</v>
      </c>
      <c r="D192" s="27">
        <v>2003</v>
      </c>
    </row>
    <row r="193" spans="1:4" ht="12.75">
      <c r="A193" s="7" t="s">
        <v>2425</v>
      </c>
      <c r="B193" s="8">
        <v>95</v>
      </c>
      <c r="C193" s="9" t="str">
        <f t="shared" ref="C193:C194" si="18">HYPERLINK("https://en.wikipedia.org/wiki/It_Was_Hot,_We_Stayed_in_the_Water","It Was Hot, We Stayed in the Water")</f>
        <v>It Was Hot, We Stayed in the Water</v>
      </c>
      <c r="D193" s="7">
        <v>2000</v>
      </c>
    </row>
    <row r="194" spans="1:4" ht="12.75">
      <c r="A194" s="10" t="s">
        <v>2426</v>
      </c>
      <c r="B194" s="11">
        <v>80</v>
      </c>
      <c r="C194" s="12" t="str">
        <f t="shared" si="18"/>
        <v>It Was Hot, We Stayed in the Water</v>
      </c>
      <c r="D194" s="10">
        <v>2000</v>
      </c>
    </row>
    <row r="195" spans="1:4" ht="12.75">
      <c r="A195" s="7" t="s">
        <v>2427</v>
      </c>
      <c r="B195" s="8">
        <v>67</v>
      </c>
      <c r="C195" s="9" t="str">
        <f>HYPERLINK("https://en.wikipedia.org/wiki/The_Glow_Pt._2","The Glow Pt. 2")</f>
        <v>The Glow Pt. 2</v>
      </c>
      <c r="D195" s="7">
        <v>2001</v>
      </c>
    </row>
    <row r="196" spans="1:4" ht="12.75">
      <c r="A196" s="7" t="s">
        <v>2428</v>
      </c>
      <c r="B196" s="8">
        <v>57</v>
      </c>
      <c r="C196" s="9" t="str">
        <f>HYPERLINK("https://en.wikipedia.org/wiki/The_Glow_Pt._2","The Glow Pt. 2")</f>
        <v>The Glow Pt. 2</v>
      </c>
      <c r="D196" s="7">
        <v>2001</v>
      </c>
    </row>
    <row r="197" spans="1:4" ht="12.75">
      <c r="A197" s="27" t="s">
        <v>2429</v>
      </c>
      <c r="B197" s="28">
        <v>56</v>
      </c>
      <c r="C197" s="29" t="str">
        <f>HYPERLINK("https://en.wikipedia.org/wiki/Song_Islands","Song Islands")</f>
        <v>Song Islands</v>
      </c>
      <c r="D197" s="27">
        <v>2002</v>
      </c>
    </row>
    <row r="198" spans="1:4" ht="12.75">
      <c r="A198" s="27"/>
      <c r="B198" s="28"/>
      <c r="C198" s="29"/>
      <c r="D198" s="27"/>
    </row>
    <row r="199" spans="1:4" ht="18">
      <c r="A199" s="128" t="s">
        <v>3936</v>
      </c>
      <c r="B199" s="23">
        <v>43298</v>
      </c>
      <c r="C199" s="24"/>
      <c r="D199" s="32" t="s">
        <v>1</v>
      </c>
    </row>
    <row r="200" spans="1:4" ht="12.75">
      <c r="A200" s="26" t="s">
        <v>2</v>
      </c>
      <c r="B200" s="26" t="s">
        <v>3</v>
      </c>
      <c r="C200" s="26" t="s">
        <v>4</v>
      </c>
      <c r="D200" s="26" t="s">
        <v>5</v>
      </c>
    </row>
    <row r="201" spans="1:4" ht="12.75">
      <c r="A201" s="27" t="s">
        <v>3988</v>
      </c>
      <c r="B201" s="28">
        <v>58</v>
      </c>
      <c r="C201" s="29" t="str">
        <f>HYPERLINK("https://en.wikipedia.org/wiki/A_Crow_Looked_at_Me","A Crow Looked at Me")</f>
        <v>A Crow Looked at Me</v>
      </c>
      <c r="D201" s="27">
        <v>2017</v>
      </c>
    </row>
    <row r="202" spans="1:4" ht="12.75">
      <c r="A202" s="129"/>
      <c r="B202" s="130"/>
      <c r="C202" s="130"/>
      <c r="D202" s="131"/>
    </row>
    <row r="203" spans="1:4" ht="18">
      <c r="A203" s="22" t="s">
        <v>2430</v>
      </c>
      <c r="B203" s="30">
        <v>44243</v>
      </c>
      <c r="C203" s="24"/>
      <c r="D203" s="32" t="s">
        <v>1</v>
      </c>
    </row>
    <row r="204" spans="1:4" ht="12.75">
      <c r="A204" s="26" t="s">
        <v>2</v>
      </c>
      <c r="B204" s="26" t="s">
        <v>3</v>
      </c>
      <c r="C204" s="26" t="s">
        <v>4</v>
      </c>
      <c r="D204" s="26" t="s">
        <v>5</v>
      </c>
    </row>
    <row r="205" spans="1:4" ht="12.75">
      <c r="A205" s="7" t="s">
        <v>2431</v>
      </c>
      <c r="B205" s="8">
        <v>136</v>
      </c>
      <c r="C205" s="9" t="s">
        <v>2432</v>
      </c>
      <c r="D205" s="7">
        <v>2002</v>
      </c>
    </row>
    <row r="206" spans="1:4" ht="12.75">
      <c r="A206" s="27" t="s">
        <v>2433</v>
      </c>
      <c r="B206" s="28">
        <v>117</v>
      </c>
      <c r="C206" s="29" t="s">
        <v>2434</v>
      </c>
      <c r="D206" s="27">
        <v>2005</v>
      </c>
    </row>
    <row r="207" spans="1:4" ht="12.75">
      <c r="A207" s="7" t="s">
        <v>2435</v>
      </c>
      <c r="B207" s="8">
        <v>82</v>
      </c>
      <c r="C207" s="9" t="s">
        <v>2436</v>
      </c>
      <c r="D207" s="7">
        <v>2007</v>
      </c>
    </row>
    <row r="208" spans="1:4" ht="12.75">
      <c r="A208" s="10" t="s">
        <v>2437</v>
      </c>
      <c r="B208" s="11">
        <v>50</v>
      </c>
      <c r="C208" s="12" t="s">
        <v>2432</v>
      </c>
      <c r="D208" s="10">
        <v>2002</v>
      </c>
    </row>
    <row r="209" spans="1:4" ht="12.75">
      <c r="A209" s="7" t="s">
        <v>2438</v>
      </c>
      <c r="B209" s="8">
        <v>48</v>
      </c>
      <c r="C209" s="9" t="s">
        <v>2439</v>
      </c>
      <c r="D209" s="7">
        <v>2004</v>
      </c>
    </row>
    <row r="210" spans="1:4" ht="12.75">
      <c r="A210" s="10" t="s">
        <v>2440</v>
      </c>
      <c r="B210" s="11">
        <v>47</v>
      </c>
      <c r="C210" s="12" t="s">
        <v>2434</v>
      </c>
      <c r="D210" s="10">
        <v>2005</v>
      </c>
    </row>
    <row r="211" spans="1:4" ht="12.75">
      <c r="A211" s="7" t="s">
        <v>2441</v>
      </c>
      <c r="B211" s="8">
        <v>43</v>
      </c>
      <c r="C211" s="9" t="s">
        <v>2436</v>
      </c>
      <c r="D211" s="7">
        <v>2007</v>
      </c>
    </row>
    <row r="212" spans="1:4" ht="12.75">
      <c r="A212" s="10" t="s">
        <v>2442</v>
      </c>
      <c r="B212" s="11">
        <v>40</v>
      </c>
      <c r="C212" s="12" t="s">
        <v>2432</v>
      </c>
      <c r="D212" s="10">
        <v>2002</v>
      </c>
    </row>
    <row r="213" spans="1:4" ht="12.75">
      <c r="A213" s="7" t="s">
        <v>2443</v>
      </c>
      <c r="B213" s="8">
        <v>39</v>
      </c>
      <c r="C213" s="9" t="s">
        <v>2436</v>
      </c>
      <c r="D213" s="7">
        <v>2007</v>
      </c>
    </row>
    <row r="214" spans="1:4" ht="12.75">
      <c r="A214" s="10" t="s">
        <v>2444</v>
      </c>
      <c r="B214" s="11">
        <v>38</v>
      </c>
      <c r="C214" s="12" t="s">
        <v>2434</v>
      </c>
      <c r="D214" s="10">
        <v>2005</v>
      </c>
    </row>
    <row r="215" spans="1:4" ht="12.75">
      <c r="A215" s="152"/>
      <c r="B215" s="153"/>
      <c r="C215" s="153"/>
      <c r="D215" s="154"/>
    </row>
    <row r="216" spans="1:4" ht="18">
      <c r="A216" s="22" t="str">
        <f>HYPERLINK("https://www.reddit.com/r/indieheads/comments/cmp7vs/top_ten_tuesday_mitski/","Mitski")</f>
        <v>Mitski</v>
      </c>
      <c r="B216" s="30">
        <v>43683</v>
      </c>
      <c r="C216" s="24"/>
      <c r="D216" s="32" t="s">
        <v>1</v>
      </c>
    </row>
    <row r="217" spans="1:4" ht="12.75">
      <c r="A217" s="26" t="s">
        <v>2</v>
      </c>
      <c r="B217" s="26" t="s">
        <v>3</v>
      </c>
      <c r="C217" s="26" t="s">
        <v>4</v>
      </c>
      <c r="D217" s="26" t="s">
        <v>5</v>
      </c>
    </row>
    <row r="218" spans="1:4" ht="12.75">
      <c r="A218" s="7" t="s">
        <v>2445</v>
      </c>
      <c r="B218" s="8">
        <v>730</v>
      </c>
      <c r="C218" s="9" t="str">
        <f>HYPERLINK("https://en.wikipedia.org/wiki/Puberty_2","Puberty 2")</f>
        <v>Puberty 2</v>
      </c>
      <c r="D218" s="7">
        <v>2016</v>
      </c>
    </row>
    <row r="219" spans="1:4" ht="12.75">
      <c r="A219" s="27" t="s">
        <v>2446</v>
      </c>
      <c r="B219" s="28">
        <v>609</v>
      </c>
      <c r="C219" s="29" t="str">
        <f>HYPERLINK("https://en.wikipedia.org/wiki/Be_the_Cowboy","Be the Cowboy")</f>
        <v>Be the Cowboy</v>
      </c>
      <c r="D219" s="27">
        <v>2018</v>
      </c>
    </row>
    <row r="220" spans="1:4" ht="12.75">
      <c r="A220" s="7" t="s">
        <v>3947</v>
      </c>
      <c r="B220" s="8">
        <v>510</v>
      </c>
      <c r="C220" s="9" t="str">
        <f>HYPERLINK("https://en.wikipedia.org/wiki/Bury_Me_at_Makeout_Creek","Bury Me at Makeout Creek")</f>
        <v>Bury Me at Makeout Creek</v>
      </c>
      <c r="D220" s="7">
        <v>2014</v>
      </c>
    </row>
    <row r="221" spans="1:4" ht="12.75">
      <c r="A221" s="27" t="s">
        <v>2447</v>
      </c>
      <c r="B221" s="28">
        <v>424</v>
      </c>
      <c r="C221" s="29" t="str">
        <f>HYPERLINK("https://en.wikipedia.org/wiki/Be_the_Cowboy","Be the Cowboy")</f>
        <v>Be the Cowboy</v>
      </c>
      <c r="D221" s="27">
        <v>2018</v>
      </c>
    </row>
    <row r="222" spans="1:4" ht="12.75">
      <c r="A222" s="7" t="s">
        <v>2448</v>
      </c>
      <c r="B222" s="8">
        <v>417</v>
      </c>
      <c r="C222" s="9" t="str">
        <f>HYPERLINK("https://en.wikipedia.org/wiki/Bury_Me_at_Makeout_Creek","Bury Me at Makeout Creek")</f>
        <v>Bury Me at Makeout Creek</v>
      </c>
      <c r="D222" s="7">
        <v>2014</v>
      </c>
    </row>
    <row r="223" spans="1:4" ht="12.75">
      <c r="A223" s="27" t="s">
        <v>2449</v>
      </c>
      <c r="B223" s="28">
        <v>367</v>
      </c>
      <c r="C223" s="29" t="str">
        <f>HYPERLINK("https://en.wikipedia.org/wiki/Puberty_2","Puberty 2")</f>
        <v>Puberty 2</v>
      </c>
      <c r="D223" s="27">
        <v>2016</v>
      </c>
    </row>
    <row r="224" spans="1:4" ht="12.75">
      <c r="A224" s="7" t="s">
        <v>2450</v>
      </c>
      <c r="B224" s="8">
        <v>354</v>
      </c>
      <c r="C224" s="9" t="str">
        <f>HYPERLINK("https://en.wikipedia.org/wiki/Bury_Me_at_Makeout_Creek","Bury Me at Makeout Creek")</f>
        <v>Bury Me at Makeout Creek</v>
      </c>
      <c r="D224" s="7">
        <v>2014</v>
      </c>
    </row>
    <row r="225" spans="1:4" ht="12.75">
      <c r="A225" s="27" t="s">
        <v>2451</v>
      </c>
      <c r="B225" s="28">
        <v>303</v>
      </c>
      <c r="C225" s="29" t="str">
        <f t="shared" ref="C225:C226" si="19">HYPERLINK("https://en.wikipedia.org/wiki/Be_the_Cowboy","Be the Cowboy")</f>
        <v>Be the Cowboy</v>
      </c>
      <c r="D225" s="27">
        <v>2018</v>
      </c>
    </row>
    <row r="226" spans="1:4" ht="12.75">
      <c r="A226" s="7" t="s">
        <v>2452</v>
      </c>
      <c r="B226" s="8">
        <v>277</v>
      </c>
      <c r="C226" s="9" t="str">
        <f t="shared" si="19"/>
        <v>Be the Cowboy</v>
      </c>
      <c r="D226" s="7">
        <v>2018</v>
      </c>
    </row>
    <row r="227" spans="1:4" ht="12.75">
      <c r="A227" s="27" t="s">
        <v>2453</v>
      </c>
      <c r="B227" s="28">
        <v>276</v>
      </c>
      <c r="C227" s="29" t="str">
        <f>HYPERLINK("https://en.wikipedia.org/wiki/Puberty_2","Puberty 2")</f>
        <v>Puberty 2</v>
      </c>
      <c r="D227" s="27">
        <v>2016</v>
      </c>
    </row>
    <row r="228" spans="1:4" ht="12.75">
      <c r="A228" s="152"/>
      <c r="B228" s="153"/>
      <c r="C228" s="153"/>
      <c r="D228" s="154"/>
    </row>
    <row r="229" spans="1:4" ht="18">
      <c r="A229" s="41" t="s">
        <v>2454</v>
      </c>
      <c r="B229" s="23">
        <v>44945</v>
      </c>
      <c r="C229" s="24"/>
      <c r="D229" s="24"/>
    </row>
    <row r="230" spans="1:4" ht="12.75">
      <c r="A230" s="26" t="s">
        <v>2</v>
      </c>
      <c r="B230" s="26" t="s">
        <v>3</v>
      </c>
      <c r="C230" s="26" t="s">
        <v>4</v>
      </c>
      <c r="D230" s="26" t="s">
        <v>5</v>
      </c>
    </row>
    <row r="231" spans="1:4" ht="12.75">
      <c r="A231" s="7" t="s">
        <v>2455</v>
      </c>
      <c r="B231" s="8">
        <v>402</v>
      </c>
      <c r="C231" s="19" t="s">
        <v>2456</v>
      </c>
      <c r="D231" s="7">
        <v>2000</v>
      </c>
    </row>
    <row r="232" spans="1:4" ht="12.75">
      <c r="A232" s="27" t="s">
        <v>2457</v>
      </c>
      <c r="B232" s="28">
        <v>327</v>
      </c>
      <c r="C232" s="35" t="s">
        <v>2458</v>
      </c>
      <c r="D232" s="27">
        <v>1996</v>
      </c>
    </row>
    <row r="233" spans="1:4" ht="12.75">
      <c r="A233" s="7" t="s">
        <v>2459</v>
      </c>
      <c r="B233" s="8">
        <v>320</v>
      </c>
      <c r="C233" s="19" t="s">
        <v>2460</v>
      </c>
      <c r="D233" s="7">
        <v>1997</v>
      </c>
    </row>
    <row r="234" spans="1:4" ht="12.75">
      <c r="A234" s="27" t="s">
        <v>2461</v>
      </c>
      <c r="B234" s="28">
        <v>316</v>
      </c>
      <c r="C234" s="35" t="s">
        <v>2460</v>
      </c>
      <c r="D234" s="27">
        <v>1997</v>
      </c>
    </row>
    <row r="235" spans="1:4" ht="12.75">
      <c r="A235" s="7" t="s">
        <v>2462</v>
      </c>
      <c r="B235" s="8">
        <v>286</v>
      </c>
      <c r="C235" s="19" t="s">
        <v>2460</v>
      </c>
      <c r="D235" s="7">
        <v>1996</v>
      </c>
    </row>
    <row r="236" spans="1:4" ht="12.75">
      <c r="A236" s="27" t="s">
        <v>2463</v>
      </c>
      <c r="B236" s="28">
        <v>277</v>
      </c>
      <c r="C236" s="35" t="s">
        <v>2464</v>
      </c>
      <c r="D236" s="27">
        <v>1999</v>
      </c>
    </row>
    <row r="237" spans="1:4" ht="12.75">
      <c r="A237" s="7" t="s">
        <v>2465</v>
      </c>
      <c r="B237" s="8">
        <v>238</v>
      </c>
      <c r="C237" s="19" t="s">
        <v>2466</v>
      </c>
      <c r="D237" s="7">
        <v>1996</v>
      </c>
    </row>
    <row r="238" spans="1:4" ht="12.75">
      <c r="A238" s="27" t="s">
        <v>2467</v>
      </c>
      <c r="B238" s="28">
        <v>199</v>
      </c>
      <c r="C238" s="35" t="s">
        <v>2468</v>
      </c>
      <c r="D238" s="27">
        <v>2000</v>
      </c>
    </row>
    <row r="239" spans="1:4" ht="12.75">
      <c r="A239" s="7" t="s">
        <v>2469</v>
      </c>
      <c r="B239" s="8">
        <v>191</v>
      </c>
      <c r="C239" s="19" t="s">
        <v>2456</v>
      </c>
      <c r="D239" s="7">
        <v>2000</v>
      </c>
    </row>
    <row r="240" spans="1:4" ht="12.75">
      <c r="A240" s="10" t="s">
        <v>2470</v>
      </c>
      <c r="B240" s="11">
        <v>187</v>
      </c>
      <c r="C240" s="20" t="s">
        <v>2458</v>
      </c>
      <c r="D240" s="10">
        <v>1996</v>
      </c>
    </row>
    <row r="241" spans="1:4" ht="12.75">
      <c r="A241" s="152"/>
      <c r="B241" s="153"/>
      <c r="C241" s="153"/>
      <c r="D241" s="154"/>
    </row>
    <row r="242" spans="1:4" ht="18">
      <c r="A242" s="2" t="str">
        <f>HYPERLINK("https://www.reddit.com/r/indieheads/comments/61yqo1/top_ten_tuesday_mogwai/","Mogwai")</f>
        <v>Mogwai</v>
      </c>
      <c r="B242" s="3">
        <v>42822</v>
      </c>
      <c r="C242" s="4"/>
      <c r="D242" s="4"/>
    </row>
    <row r="243" spans="1:4" ht="12.75">
      <c r="A243" s="6" t="s">
        <v>2</v>
      </c>
      <c r="B243" s="6" t="s">
        <v>3</v>
      </c>
      <c r="C243" s="6" t="s">
        <v>4</v>
      </c>
      <c r="D243" s="6" t="s">
        <v>5</v>
      </c>
    </row>
    <row r="244" spans="1:4" ht="12.75">
      <c r="A244" s="7" t="s">
        <v>2471</v>
      </c>
      <c r="B244" s="8">
        <v>127</v>
      </c>
      <c r="C244" s="9" t="str">
        <f t="shared" ref="C244:C245" si="20">HYPERLINK("https://en.wikipedia.org/wiki/Mogwai_Young_Team","Young Team")</f>
        <v>Young Team</v>
      </c>
      <c r="D244" s="7">
        <v>1997</v>
      </c>
    </row>
    <row r="245" spans="1:4" ht="12.75">
      <c r="A245" s="10" t="s">
        <v>2472</v>
      </c>
      <c r="B245" s="11">
        <v>88</v>
      </c>
      <c r="C245" s="12" t="str">
        <f t="shared" si="20"/>
        <v>Young Team</v>
      </c>
      <c r="D245" s="10">
        <v>1997</v>
      </c>
    </row>
    <row r="246" spans="1:4" ht="12.75">
      <c r="A246" s="7" t="s">
        <v>2473</v>
      </c>
      <c r="B246" s="8">
        <v>69</v>
      </c>
      <c r="C246" s="9" t="str">
        <f>HYPERLINK("https://en.wikipedia.org/wiki/Come_On_Die_Young","Come On Die Young")</f>
        <v>Come On Die Young</v>
      </c>
      <c r="D246" s="7">
        <v>1998</v>
      </c>
    </row>
    <row r="247" spans="1:4" ht="12.75">
      <c r="A247" s="10" t="s">
        <v>2474</v>
      </c>
      <c r="B247" s="11">
        <v>68</v>
      </c>
      <c r="C247" s="12" t="str">
        <f>HYPERLINK("https://en.wikipedia.org/wiki/Mogwai_Young_Team","Young Team")</f>
        <v>Young Team</v>
      </c>
      <c r="D247" s="10">
        <v>1997</v>
      </c>
    </row>
    <row r="248" spans="1:4" ht="12.75">
      <c r="A248" s="7" t="s">
        <v>2475</v>
      </c>
      <c r="B248" s="8">
        <v>64</v>
      </c>
      <c r="C248" s="9" t="str">
        <f>HYPERLINK("https://en.wikipedia.org/wiki/Ten_Rapid_(Collected_Recordings_1996%E2%80%931997)","Ten Rapid")</f>
        <v>Ten Rapid</v>
      </c>
      <c r="D248" s="7">
        <v>1997</v>
      </c>
    </row>
    <row r="249" spans="1:4" ht="12.75">
      <c r="A249" s="10" t="s">
        <v>2476</v>
      </c>
      <c r="B249" s="11">
        <v>59</v>
      </c>
      <c r="C249" s="12" t="str">
        <f>HYPERLINK("https://en.wikipedia.org/wiki/Rock_Action_(album)","Rock Action")</f>
        <v>Rock Action</v>
      </c>
      <c r="D249" s="10">
        <v>2001</v>
      </c>
    </row>
    <row r="250" spans="1:4" ht="12.75">
      <c r="A250" s="7" t="s">
        <v>2477</v>
      </c>
      <c r="B250" s="8">
        <v>54</v>
      </c>
      <c r="C250" s="7"/>
      <c r="D250" s="7">
        <v>2001</v>
      </c>
    </row>
    <row r="251" spans="1:4" ht="12.75">
      <c r="A251" s="10" t="s">
        <v>2478</v>
      </c>
      <c r="B251" s="11">
        <v>49</v>
      </c>
      <c r="C251" s="12" t="str">
        <f>HYPERLINK("https://en.wikipedia.org/wiki/Rock_Action_(album)","Rock Action")</f>
        <v>Rock Action</v>
      </c>
      <c r="D251" s="10">
        <v>2001</v>
      </c>
    </row>
    <row r="252" spans="1:4" ht="12.75">
      <c r="A252" s="7" t="s">
        <v>2479</v>
      </c>
      <c r="B252" s="8">
        <v>42</v>
      </c>
      <c r="C252" s="9" t="str">
        <f>HYPERLINK("https://en.wikipedia.org/wiki/Come_On_Die_Young","Come On Die Young")</f>
        <v>Come On Die Young</v>
      </c>
      <c r="D252" s="7">
        <v>1999</v>
      </c>
    </row>
    <row r="253" spans="1:4" ht="12.75">
      <c r="A253" s="10" t="s">
        <v>2480</v>
      </c>
      <c r="B253" s="11">
        <v>41</v>
      </c>
      <c r="C253" s="12" t="str">
        <f>HYPERLINK("https://en.wikipedia.org/wiki/Happy_Songs_for_Happy_People","Happy Songs for Happy People")</f>
        <v>Happy Songs for Happy People</v>
      </c>
      <c r="D253" s="10">
        <v>2003</v>
      </c>
    </row>
    <row r="254" spans="1:4" ht="12.75">
      <c r="A254" s="152"/>
      <c r="B254" s="153"/>
      <c r="C254" s="153"/>
      <c r="D254" s="154"/>
    </row>
    <row r="255" spans="1:4" ht="18">
      <c r="A255" s="22" t="str">
        <f>HYPERLINK("https://www.reddit.com/r/indieheads/comments/3pj6jh/top_ten_tuesday_the_mountain_goats/","The Mountain Goats")</f>
        <v>The Mountain Goats</v>
      </c>
      <c r="B255" s="23">
        <v>42297</v>
      </c>
      <c r="C255" s="24"/>
      <c r="D255" s="24"/>
    </row>
    <row r="256" spans="1:4" ht="12.75">
      <c r="A256" s="26" t="s">
        <v>2</v>
      </c>
      <c r="B256" s="26" t="s">
        <v>3</v>
      </c>
      <c r="C256" s="26" t="s">
        <v>4</v>
      </c>
      <c r="D256" s="26" t="s">
        <v>5</v>
      </c>
    </row>
    <row r="257" spans="1:4" ht="12.75">
      <c r="A257" s="9" t="str">
        <f>HYPERLINK("https://www.youtube.com/watch?v=wRP6egIEABk","No Children")</f>
        <v>No Children</v>
      </c>
      <c r="B257" s="8">
        <v>203</v>
      </c>
      <c r="C257" s="9" t="str">
        <f>HYPERLINK("https://en.wikipedia.org/wiki/Tallahassee_(album)","Tallahassee")</f>
        <v>Tallahassee</v>
      </c>
      <c r="D257" s="7">
        <v>2002</v>
      </c>
    </row>
    <row r="258" spans="1:4" ht="12.75">
      <c r="A258" s="29" t="str">
        <f>HYPERLINK("https://www.youtube.com/watch?v=w6IrmULLV0M","The Best Ever Death Metal Band in Denton")</f>
        <v>The Best Ever Death Metal Band in Denton</v>
      </c>
      <c r="B258" s="28">
        <v>175</v>
      </c>
      <c r="C258" s="29" t="str">
        <f>HYPERLINK("https://en.wikipedia.org/wiki/All_Hail_West_Texas","All Hail West Texas")</f>
        <v>All Hail West Texas</v>
      </c>
      <c r="D258" s="27">
        <v>2002</v>
      </c>
    </row>
    <row r="259" spans="1:4" ht="12.75">
      <c r="A259" s="9" t="str">
        <f>HYPERLINK("https://www.youtube.com/watch?v=qe6DE9BXWeY","Going to Georgia")</f>
        <v>Going to Georgia</v>
      </c>
      <c r="B259" s="8">
        <v>136</v>
      </c>
      <c r="C259" s="9" t="str">
        <f>HYPERLINK("https://en.wikipedia.org/wiki/Zopilote_Machine","Zopilote Machine")</f>
        <v>Zopilote Machine</v>
      </c>
      <c r="D259" s="7">
        <v>1994</v>
      </c>
    </row>
    <row r="260" spans="1:4" ht="12.75">
      <c r="A260" s="29" t="str">
        <f>HYPERLINK("https://www.youtube.com/watch?v=eetIgGXH6DA","This Year")</f>
        <v>This Year</v>
      </c>
      <c r="B260" s="28">
        <v>128</v>
      </c>
      <c r="C260" s="29" t="str">
        <f t="shared" ref="C260:C261" si="21">HYPERLINK("https://en.wikipedia.org/wiki/The_Sunset_Tree","The Sunset Tree")</f>
        <v>The Sunset Tree</v>
      </c>
      <c r="D260" s="27">
        <v>2005</v>
      </c>
    </row>
    <row r="261" spans="1:4" ht="12.75">
      <c r="A261" s="9" t="str">
        <f>HYPERLINK("https://www.youtube.com/watch?v=agbCspmBSWk","Up the Wolves")</f>
        <v>Up the Wolves</v>
      </c>
      <c r="B261" s="8">
        <v>81</v>
      </c>
      <c r="C261" s="9" t="str">
        <f t="shared" si="21"/>
        <v>The Sunset Tree</v>
      </c>
      <c r="D261" s="7">
        <v>2005</v>
      </c>
    </row>
    <row r="262" spans="1:4" ht="12.75">
      <c r="A262" s="29" t="str">
        <f>HYPERLINK("https://www.youtube.com/watch?v=E3_7mXVRL0M","Color in Your Cheeks")</f>
        <v>Color in Your Cheeks</v>
      </c>
      <c r="B262" s="28">
        <v>64</v>
      </c>
      <c r="C262" s="29" t="str">
        <f>HYPERLINK("https://en.wikipedia.org/wiki/All_Hail_West_Texas","All Hail West Texas")</f>
        <v>All Hail West Texas</v>
      </c>
      <c r="D262" s="27">
        <v>2002</v>
      </c>
    </row>
    <row r="263" spans="1:4" ht="12.75">
      <c r="A263" s="9" t="str">
        <f>HYPERLINK("https://www.youtube.com/watch?v=bptnhUOG2GU","Cry for Judas")</f>
        <v>Cry for Judas</v>
      </c>
      <c r="B263" s="8">
        <v>57</v>
      </c>
      <c r="C263" s="9" t="str">
        <f>HYPERLINK("https://en.wikipedia.org/wiki/Transcendental_Youth","Transcendental Youth")</f>
        <v>Transcendental Youth</v>
      </c>
      <c r="D263" s="7">
        <v>2012</v>
      </c>
    </row>
    <row r="264" spans="1:4" ht="12.75">
      <c r="A264" s="29" t="str">
        <f>HYPERLINK("https://www.youtube.com/watch?v=7YRWzxYS_nM","The Mess Inside")</f>
        <v>The Mess Inside</v>
      </c>
      <c r="B264" s="28">
        <v>56</v>
      </c>
      <c r="C264" s="29" t="str">
        <f>HYPERLINK("https://en.wikipedia.org/wiki/All_Hail_West_Texas","All Hail West Texas")</f>
        <v>All Hail West Texas</v>
      </c>
      <c r="D264" s="27">
        <v>2002</v>
      </c>
    </row>
    <row r="265" spans="1:4" ht="12.75">
      <c r="A265" s="9" t="str">
        <f>HYPERLINK("https://www.youtube.com/watch?v=hSLDkIJnNF8","Old College Try")</f>
        <v>Old College Try</v>
      </c>
      <c r="B265" s="8">
        <v>48</v>
      </c>
      <c r="C265" s="9" t="str">
        <f>HYPERLINK("https://en.wikipedia.org/wiki/Tallahassee_(album)","Tallahassee")</f>
        <v>Tallahassee</v>
      </c>
      <c r="D265" s="7">
        <v>2002</v>
      </c>
    </row>
    <row r="266" spans="1:4" ht="12.75">
      <c r="A266" s="29" t="str">
        <f>HYPERLINK("https://www.youtube.com/watch?v=dRTqDG9Mo18","Damn These Vampires")</f>
        <v>Damn These Vampires</v>
      </c>
      <c r="B266" s="28">
        <v>47</v>
      </c>
      <c r="C266" s="29" t="str">
        <f>HYPERLINK("https://en.wikipedia.org/wiki/All_Eternals_Deck","All Eternals Deck")</f>
        <v>All Eternals Deck</v>
      </c>
      <c r="D266" s="27">
        <v>2011</v>
      </c>
    </row>
    <row r="267" spans="1:4" ht="12.75">
      <c r="A267" s="152"/>
      <c r="B267" s="153"/>
      <c r="C267" s="153"/>
      <c r="D267" s="154"/>
    </row>
    <row r="268" spans="1:4" ht="18">
      <c r="A268" s="22" t="str">
        <f>HYPERLINK("https://www.reddit.com/r/indieheads/comments/5r83ch/top_ten_tuesday_muse/","Muse")</f>
        <v>Muse</v>
      </c>
      <c r="B268" s="43">
        <v>42766</v>
      </c>
      <c r="C268" s="24"/>
      <c r="D268" s="24"/>
    </row>
    <row r="269" spans="1:4" ht="12.75">
      <c r="A269" s="26" t="s">
        <v>2</v>
      </c>
      <c r="B269" s="26" t="s">
        <v>3</v>
      </c>
      <c r="C269" s="26" t="s">
        <v>4</v>
      </c>
      <c r="D269" s="26" t="s">
        <v>5</v>
      </c>
    </row>
    <row r="270" spans="1:4" ht="12.75">
      <c r="A270" s="7" t="s">
        <v>2481</v>
      </c>
      <c r="B270" s="8">
        <v>526</v>
      </c>
      <c r="C270" s="9" t="str">
        <f>HYPERLINK("https://en.wikipedia.org/wiki/Origin_of_Symmetry","Origin of Symmetry")</f>
        <v>Origin of Symmetry</v>
      </c>
      <c r="D270" s="7">
        <v>2001</v>
      </c>
    </row>
    <row r="271" spans="1:4" ht="12.75">
      <c r="A271" s="27" t="s">
        <v>2482</v>
      </c>
      <c r="B271" s="28">
        <v>446</v>
      </c>
      <c r="C271" s="29" t="str">
        <f t="shared" ref="C271:C272" si="22">HYPERLINK("https://en.wikipedia.org/wiki/Black_Holes_and_Revelations","Black Holes and Revelations")</f>
        <v>Black Holes and Revelations</v>
      </c>
      <c r="D271" s="27">
        <v>2006</v>
      </c>
    </row>
    <row r="272" spans="1:4" ht="12.75">
      <c r="A272" s="7" t="s">
        <v>2483</v>
      </c>
      <c r="B272" s="8">
        <v>336</v>
      </c>
      <c r="C272" s="9" t="str">
        <f t="shared" si="22"/>
        <v>Black Holes and Revelations</v>
      </c>
      <c r="D272" s="7">
        <v>2006</v>
      </c>
    </row>
    <row r="273" spans="1:4" ht="12.75">
      <c r="A273" s="27" t="s">
        <v>2484</v>
      </c>
      <c r="B273" s="28">
        <v>325</v>
      </c>
      <c r="C273" s="29" t="str">
        <f>HYPERLINK("https://en.wikipedia.org/wiki/Origin_of_Symmetry","Origin of Symmetry")</f>
        <v>Origin of Symmetry</v>
      </c>
      <c r="D273" s="27">
        <v>2001</v>
      </c>
    </row>
    <row r="274" spans="1:4" ht="12.75">
      <c r="A274" s="7" t="s">
        <v>2485</v>
      </c>
      <c r="B274" s="8">
        <v>288</v>
      </c>
      <c r="C274" s="9" t="str">
        <f t="shared" ref="C274:C275" si="23">HYPERLINK("https://en.wikipedia.org/wiki/Absolution_(album)","Absolution")</f>
        <v>Absolution</v>
      </c>
      <c r="D274" s="7">
        <v>2003</v>
      </c>
    </row>
    <row r="275" spans="1:4" ht="12.75">
      <c r="A275" s="27" t="s">
        <v>2486</v>
      </c>
      <c r="B275" s="28">
        <v>245</v>
      </c>
      <c r="C275" s="29" t="str">
        <f t="shared" si="23"/>
        <v>Absolution</v>
      </c>
      <c r="D275" s="27">
        <v>2003</v>
      </c>
    </row>
    <row r="276" spans="1:4" ht="12.75">
      <c r="A276" s="7" t="s">
        <v>2487</v>
      </c>
      <c r="B276" s="8">
        <v>219</v>
      </c>
      <c r="C276" s="9" t="str">
        <f>HYPERLINK("https://en.wikipedia.org/wiki/Origin_of_Symmetry","Origin of Symmetry")</f>
        <v>Origin of Symmetry</v>
      </c>
      <c r="D276" s="7">
        <v>2001</v>
      </c>
    </row>
    <row r="277" spans="1:4" ht="12.75">
      <c r="A277" s="27" t="s">
        <v>2488</v>
      </c>
      <c r="B277" s="28">
        <v>171</v>
      </c>
      <c r="C277" s="29" t="str">
        <f>HYPERLINK("https://en.wikipedia.org/wiki/Showbiz_(album)","Showbiz")</f>
        <v>Showbiz</v>
      </c>
      <c r="D277" s="27">
        <v>1999</v>
      </c>
    </row>
    <row r="278" spans="1:4" ht="12.75">
      <c r="A278" s="7" t="s">
        <v>2489</v>
      </c>
      <c r="B278" s="8">
        <v>162</v>
      </c>
      <c r="C278" s="9" t="str">
        <f t="shared" ref="C278:C279" si="24">HYPERLINK("https://en.wikipedia.org/wiki/Origin_of_Symmetry","Origin of Symmetry")</f>
        <v>Origin of Symmetry</v>
      </c>
      <c r="D278" s="7">
        <v>2001</v>
      </c>
    </row>
    <row r="279" spans="1:4" ht="12.75">
      <c r="A279" s="27" t="s">
        <v>2490</v>
      </c>
      <c r="B279" s="28">
        <v>153</v>
      </c>
      <c r="C279" s="29" t="str">
        <f t="shared" si="24"/>
        <v>Origin of Symmetry</v>
      </c>
      <c r="D279" s="27">
        <v>2001</v>
      </c>
    </row>
    <row r="280" spans="1:4" ht="12.75">
      <c r="A280" s="152"/>
      <c r="B280" s="153"/>
      <c r="C280" s="153"/>
      <c r="D280" s="154"/>
    </row>
    <row r="281" spans="1:4" ht="18">
      <c r="A281" s="22" t="str">
        <f>HYPERLINK("https://www.reddit.com/r/indieheads/comments/3gmxqg/top_ten_tuesday_my_bloody_valentine","My Bloody Valentine")</f>
        <v>My Bloody Valentine</v>
      </c>
      <c r="B281" s="23">
        <v>42227</v>
      </c>
      <c r="C281" s="24"/>
      <c r="D281" s="24"/>
    </row>
    <row r="282" spans="1:4" ht="12.75">
      <c r="A282" s="26" t="s">
        <v>2</v>
      </c>
      <c r="B282" s="26" t="s">
        <v>3</v>
      </c>
      <c r="C282" s="26" t="s">
        <v>4</v>
      </c>
      <c r="D282" s="26" t="s">
        <v>5</v>
      </c>
    </row>
    <row r="283" spans="1:4" ht="12.75">
      <c r="A283" s="9" t="str">
        <f>HYPERLINK("https://www.youtube.com/watch?v=t0dJqlvOSq4","Sometimes")</f>
        <v>Sometimes</v>
      </c>
      <c r="B283" s="8">
        <v>261</v>
      </c>
      <c r="C283" s="9" t="str">
        <f t="shared" ref="C283:C288" si="25">HYPERLINK("https://en.wikipedia.org/wiki/Loveless_(album)","Loveless")</f>
        <v>Loveless</v>
      </c>
      <c r="D283" s="7">
        <v>1991</v>
      </c>
    </row>
    <row r="284" spans="1:4" ht="12.75">
      <c r="A284" s="29" t="str">
        <f>HYPERLINK("https://www.youtube.com/watch?v=FyYMzEplnfU","Only Shallow")</f>
        <v>Only Shallow</v>
      </c>
      <c r="B284" s="28">
        <v>255</v>
      </c>
      <c r="C284" s="29" t="str">
        <f t="shared" si="25"/>
        <v>Loveless</v>
      </c>
      <c r="D284" s="27">
        <v>1991</v>
      </c>
    </row>
    <row r="285" spans="1:4" ht="12.75">
      <c r="A285" s="9" t="str">
        <f>HYPERLINK("https://www.youtube.com/watch?v=l9-NOIalUYU","When You Sleep")</f>
        <v>When You Sleep</v>
      </c>
      <c r="B285" s="8">
        <v>235</v>
      </c>
      <c r="C285" s="9" t="str">
        <f t="shared" si="25"/>
        <v>Loveless</v>
      </c>
      <c r="D285" s="7">
        <v>1991</v>
      </c>
    </row>
    <row r="286" spans="1:4" ht="12.75">
      <c r="A286" s="29" t="str">
        <f>HYPERLINK("https://www.youtube.com/watch?v=xdHS1sbV5xw","To Here Knows When")</f>
        <v>To Here Knows When</v>
      </c>
      <c r="B286" s="28">
        <v>209</v>
      </c>
      <c r="C286" s="29" t="str">
        <f t="shared" si="25"/>
        <v>Loveless</v>
      </c>
      <c r="D286" s="27">
        <v>1991</v>
      </c>
    </row>
    <row r="287" spans="1:4" ht="12.75">
      <c r="A287" s="9" t="str">
        <f>HYPERLINK("https://www.youtube.com/watch?v=LseSx_hPJyQ","Soon")</f>
        <v>Soon</v>
      </c>
      <c r="B287" s="8">
        <v>190</v>
      </c>
      <c r="C287" s="9" t="str">
        <f t="shared" si="25"/>
        <v>Loveless</v>
      </c>
      <c r="D287" s="7">
        <v>1990</v>
      </c>
    </row>
    <row r="288" spans="1:4" ht="12.75">
      <c r="A288" s="29" t="str">
        <f>HYPERLINK("https://www.youtube.com/watch?v=tVj-fc1M_D0","I Only Said")</f>
        <v>I Only Said</v>
      </c>
      <c r="B288" s="28">
        <v>160</v>
      </c>
      <c r="C288" s="29" t="str">
        <f t="shared" si="25"/>
        <v>Loveless</v>
      </c>
      <c r="D288" s="27">
        <v>1991</v>
      </c>
    </row>
    <row r="289" spans="1:4" ht="12.75">
      <c r="A289" s="9" t="str">
        <f>HYPERLINK("https://www.youtube.com/watch?v=j9qLnmEN7S8","You Made Me Realise")</f>
        <v>You Made Me Realise</v>
      </c>
      <c r="B289" s="8">
        <v>137</v>
      </c>
      <c r="C289" s="9" t="str">
        <f>HYPERLINK("https://en.wikipedia.org/wiki/You_Made_Me_Realise","You Made Me Realise")</f>
        <v>You Made Me Realise</v>
      </c>
      <c r="D289" s="7">
        <v>1988</v>
      </c>
    </row>
    <row r="290" spans="1:4" ht="12.75">
      <c r="A290" s="29" t="str">
        <f>HYPERLINK("https://www.youtube.com/watch?v=ztnutktJP7M","Loomer")</f>
        <v>Loomer</v>
      </c>
      <c r="B290" s="28">
        <v>134</v>
      </c>
      <c r="C290" s="29" t="str">
        <f>HYPERLINK("https://en.wikipedia.org/wiki/Loveless_(album)","Loveless")</f>
        <v>Loveless</v>
      </c>
      <c r="D290" s="27">
        <v>1991</v>
      </c>
    </row>
    <row r="291" spans="1:4" ht="12.75">
      <c r="A291" s="9" t="str">
        <f>HYPERLINK("https://www.youtube.com/watch?v=y2FQ3ih0MoE","Only Tomorrow")</f>
        <v>Only Tomorrow</v>
      </c>
      <c r="B291" s="8">
        <v>102</v>
      </c>
      <c r="C291" s="9" t="str">
        <f t="shared" ref="C291:C292" si="26">HYPERLINK("https://en.wikipedia.org/wiki/MBV_(album)","m b v")</f>
        <v>m b v</v>
      </c>
      <c r="D291" s="7">
        <v>2013</v>
      </c>
    </row>
    <row r="292" spans="1:4" ht="12.75">
      <c r="A292" s="29" t="str">
        <f>HYPERLINK("https://www.youtube.com/watch?v=rBKjhgHGVZs","She Found Now")</f>
        <v>She Found Now</v>
      </c>
      <c r="B292" s="28">
        <v>79</v>
      </c>
      <c r="C292" s="29" t="str">
        <f t="shared" si="26"/>
        <v>m b v</v>
      </c>
      <c r="D292" s="27">
        <v>2013</v>
      </c>
    </row>
    <row r="293" spans="1:4" ht="12.75">
      <c r="A293" s="152"/>
      <c r="B293" s="153"/>
      <c r="C293" s="153"/>
      <c r="D293" s="154"/>
    </row>
    <row r="294" spans="1:4" ht="18">
      <c r="A294" s="22" t="str">
        <f>HYPERLINK("https://www.reddit.com/r/indieheads/comments/5so8p4/top_ten_tuesday_my_morning_jacket/","My Morning Jacket")</f>
        <v>My Morning Jacket</v>
      </c>
      <c r="B294" s="30">
        <v>42773</v>
      </c>
      <c r="C294" s="24"/>
      <c r="D294" s="24"/>
    </row>
    <row r="295" spans="1:4" ht="12.75">
      <c r="A295" s="26" t="s">
        <v>2</v>
      </c>
      <c r="B295" s="26" t="s">
        <v>3</v>
      </c>
      <c r="C295" s="26" t="s">
        <v>4</v>
      </c>
      <c r="D295" s="26" t="s">
        <v>5</v>
      </c>
    </row>
    <row r="296" spans="1:4" ht="12.75">
      <c r="A296" s="7" t="s">
        <v>2491</v>
      </c>
      <c r="B296" s="8">
        <v>177</v>
      </c>
      <c r="C296" s="9" t="str">
        <f>HYPERLINK("https://en.wikipedia.org/wiki/It_Still_Moves","It Still Moves")</f>
        <v>It Still Moves</v>
      </c>
      <c r="D296" s="7">
        <v>2003</v>
      </c>
    </row>
    <row r="297" spans="1:4" ht="12.75">
      <c r="A297" s="10" t="s">
        <v>2492</v>
      </c>
      <c r="B297" s="11">
        <v>159</v>
      </c>
      <c r="C297" s="12" t="str">
        <f t="shared" ref="C297:C298" si="27">HYPERLINK("https://en.wikipedia.org/wiki/Z_(My_Morning_Jacket_album)","Z")</f>
        <v>Z</v>
      </c>
      <c r="D297" s="10">
        <v>2005</v>
      </c>
    </row>
    <row r="298" spans="1:4" ht="12.75">
      <c r="A298" s="133" t="s">
        <v>3978</v>
      </c>
      <c r="B298" s="8">
        <v>152</v>
      </c>
      <c r="C298" s="9" t="str">
        <f t="shared" si="27"/>
        <v>Z</v>
      </c>
      <c r="D298" s="7">
        <v>2005</v>
      </c>
    </row>
    <row r="299" spans="1:4" ht="12.75">
      <c r="A299" s="27" t="s">
        <v>2493</v>
      </c>
      <c r="B299" s="28">
        <v>148</v>
      </c>
      <c r="C299" s="29" t="str">
        <f t="shared" ref="C299:C300" si="28">HYPERLINK("https://en.wikipedia.org/wiki/It_Still_Moves","It Still Moves")</f>
        <v>It Still Moves</v>
      </c>
      <c r="D299" s="27">
        <v>2003</v>
      </c>
    </row>
    <row r="300" spans="1:4" ht="12.75">
      <c r="A300" s="7" t="s">
        <v>2494</v>
      </c>
      <c r="B300" s="8">
        <v>99</v>
      </c>
      <c r="C300" s="9" t="str">
        <f t="shared" si="28"/>
        <v>It Still Moves</v>
      </c>
      <c r="D300" s="7">
        <v>2003</v>
      </c>
    </row>
    <row r="301" spans="1:4" ht="12.75">
      <c r="A301" s="27" t="s">
        <v>2495</v>
      </c>
      <c r="B301" s="28">
        <v>93</v>
      </c>
      <c r="C301" s="29" t="str">
        <f>HYPERLINK("https://en.wikipedia.org/wiki/Z_(My_Morning_Jacket_album)","Z")</f>
        <v>Z</v>
      </c>
      <c r="D301" s="27">
        <v>2005</v>
      </c>
    </row>
    <row r="302" spans="1:4" ht="12.75">
      <c r="A302" s="7" t="s">
        <v>2496</v>
      </c>
      <c r="B302" s="8">
        <v>89</v>
      </c>
      <c r="C302" s="9" t="str">
        <f>HYPERLINK("https://en.wikipedia.org/wiki/Evil_Urges","Evil Urges")</f>
        <v>Evil Urges</v>
      </c>
      <c r="D302" s="7">
        <v>2008</v>
      </c>
    </row>
    <row r="303" spans="1:4" ht="12.75">
      <c r="A303" s="27" t="s">
        <v>2497</v>
      </c>
      <c r="B303" s="28">
        <v>74</v>
      </c>
      <c r="C303" s="29" t="str">
        <f>HYPERLINK("https://en.wikipedia.org/wiki/It_Still_Moves","It Still Moves")</f>
        <v>It Still Moves</v>
      </c>
      <c r="D303" s="27">
        <v>2003</v>
      </c>
    </row>
    <row r="304" spans="1:4" ht="12.75">
      <c r="A304" s="7" t="s">
        <v>2498</v>
      </c>
      <c r="B304" s="8">
        <v>70</v>
      </c>
      <c r="C304" s="9" t="str">
        <f>HYPERLINK("https://en.wikipedia.org/wiki/Circuital","Circuital")</f>
        <v>Circuital</v>
      </c>
      <c r="D304" s="7">
        <v>2011</v>
      </c>
    </row>
    <row r="305" spans="1:4" ht="12.75">
      <c r="A305" s="10" t="s">
        <v>2499</v>
      </c>
      <c r="B305" s="11">
        <v>69</v>
      </c>
      <c r="C305" s="12" t="str">
        <f>HYPERLINK("https://en.wikipedia.org/wiki/It_Still_Moves","It Still Moves")</f>
        <v>It Still Moves</v>
      </c>
      <c r="D305" s="10">
        <v>2003</v>
      </c>
    </row>
    <row r="306" spans="1:4" ht="12.75">
      <c r="A306" s="152"/>
      <c r="B306" s="153"/>
      <c r="C306" s="153"/>
      <c r="D306" s="154"/>
    </row>
    <row r="307" spans="1:4" ht="18">
      <c r="A307" s="22" t="str">
        <f>HYPERLINK("https://www.reddit.com/r/indieheads/comments/7x925k/top_ten_tuesday_the_national/","The National")</f>
        <v>The National</v>
      </c>
      <c r="B307" s="23">
        <v>43144</v>
      </c>
      <c r="C307" s="24"/>
      <c r="D307" s="24"/>
    </row>
    <row r="308" spans="1:4" ht="12.75">
      <c r="A308" s="26" t="s">
        <v>2</v>
      </c>
      <c r="B308" s="26" t="s">
        <v>3</v>
      </c>
      <c r="C308" s="26" t="s">
        <v>4</v>
      </c>
      <c r="D308" s="26" t="s">
        <v>5</v>
      </c>
    </row>
    <row r="309" spans="1:4" ht="12.75">
      <c r="A309" s="7" t="s">
        <v>2500</v>
      </c>
      <c r="B309" s="8">
        <v>774</v>
      </c>
      <c r="C309" s="9" t="str">
        <f>HYPERLINK("http://en.wikipedia.org/wiki/Boxer_(album)","Boxer")</f>
        <v>Boxer</v>
      </c>
      <c r="D309" s="7">
        <v>2007</v>
      </c>
    </row>
    <row r="310" spans="1:4" ht="12.75">
      <c r="A310" s="27" t="s">
        <v>2501</v>
      </c>
      <c r="B310" s="28">
        <v>675</v>
      </c>
      <c r="C310" s="29" t="str">
        <f>HYPERLINK("http://en.wikipedia.org/wiki/High_Violet","High Violet")</f>
        <v>High Violet</v>
      </c>
      <c r="D310" s="27">
        <v>2013</v>
      </c>
    </row>
    <row r="311" spans="1:4" ht="12.75">
      <c r="A311" s="7" t="s">
        <v>2502</v>
      </c>
      <c r="B311" s="8">
        <v>674</v>
      </c>
      <c r="C311" s="9" t="str">
        <f t="shared" ref="C311:C312" si="29">HYPERLINK("https://en.wikipedia.org/wiki/Boxer_(The_National_album)","Boxer")</f>
        <v>Boxer</v>
      </c>
      <c r="D311" s="7">
        <v>2007</v>
      </c>
    </row>
    <row r="312" spans="1:4" ht="12.75">
      <c r="A312" s="27" t="s">
        <v>2503</v>
      </c>
      <c r="B312" s="28">
        <v>659</v>
      </c>
      <c r="C312" s="29" t="str">
        <f t="shared" si="29"/>
        <v>Boxer</v>
      </c>
      <c r="D312" s="27">
        <v>2007</v>
      </c>
    </row>
    <row r="313" spans="1:4" ht="12.75">
      <c r="A313" s="7" t="s">
        <v>2504</v>
      </c>
      <c r="B313" s="8">
        <v>574</v>
      </c>
      <c r="C313" s="9" t="str">
        <f>HYPERLINK("http://en.wikipedia.org/wiki/Alligator_(The_National_album)","Alligator")</f>
        <v>Alligator</v>
      </c>
      <c r="D313" s="7">
        <v>2005</v>
      </c>
    </row>
    <row r="314" spans="1:4" ht="12.75">
      <c r="A314" s="27" t="s">
        <v>2505</v>
      </c>
      <c r="B314" s="28">
        <v>460</v>
      </c>
      <c r="C314" s="29" t="str">
        <f>HYPERLINK("http://en.wikipedia.org/wiki/Boxer_(album)","Boxer")</f>
        <v>Boxer</v>
      </c>
      <c r="D314" s="27">
        <v>2007</v>
      </c>
    </row>
    <row r="315" spans="1:4" ht="12.75">
      <c r="A315" s="7" t="s">
        <v>2506</v>
      </c>
      <c r="B315" s="8">
        <v>422</v>
      </c>
      <c r="C315" s="9" t="str">
        <f>HYPERLINK("http://en.wikipedia.org/wiki/Trouble_Will_Find_Me","Trouble Will Find Me")</f>
        <v>Trouble Will Find Me</v>
      </c>
      <c r="D315" s="7">
        <v>2013</v>
      </c>
    </row>
    <row r="316" spans="1:4" ht="12.75">
      <c r="A316" s="27" t="s">
        <v>2507</v>
      </c>
      <c r="B316" s="28">
        <v>414</v>
      </c>
      <c r="C316" s="29" t="str">
        <f>HYPERLINK("http://en.wikipedia.org/wiki/High_Violet","High Violet")</f>
        <v>High Violet</v>
      </c>
      <c r="D316" s="27">
        <v>2010</v>
      </c>
    </row>
    <row r="317" spans="1:4" ht="12.75">
      <c r="A317" s="7" t="s">
        <v>2508</v>
      </c>
      <c r="B317" s="8">
        <v>352</v>
      </c>
      <c r="C317" s="9" t="str">
        <f>HYPERLINK("https://en.wikipedia.org/wiki/Alligator_(The_National_album)","Alligator")</f>
        <v>Alligator</v>
      </c>
      <c r="D317" s="7">
        <v>2005</v>
      </c>
    </row>
    <row r="318" spans="1:4" ht="12.75">
      <c r="A318" s="27" t="s">
        <v>2509</v>
      </c>
      <c r="B318" s="28">
        <v>351</v>
      </c>
      <c r="C318" s="29" t="str">
        <f>HYPERLINK("https://en.wikipedia.org/wiki/Cherry_Tree_(EP)","Cherry Tree EP")</f>
        <v>Cherry Tree EP</v>
      </c>
      <c r="D318" s="27">
        <v>2004</v>
      </c>
    </row>
    <row r="319" spans="1:4" ht="12.75">
      <c r="A319" s="152"/>
      <c r="B319" s="153"/>
      <c r="C319" s="153"/>
      <c r="D319" s="154"/>
    </row>
    <row r="320" spans="1:4" ht="18">
      <c r="A320" s="22" t="str">
        <f>HYPERLINK("https://www.reddit.com/r/indieheads/comments/donyx2/top_ten_tuesday_neil_young/","Neil Young")</f>
        <v>Neil Young</v>
      </c>
      <c r="B320" s="43">
        <v>43767</v>
      </c>
      <c r="C320" s="24"/>
      <c r="D320" s="32" t="s">
        <v>1</v>
      </c>
    </row>
    <row r="321" spans="1:4" ht="12.75">
      <c r="A321" s="26" t="s">
        <v>2</v>
      </c>
      <c r="B321" s="26" t="s">
        <v>3</v>
      </c>
      <c r="C321" s="26" t="s">
        <v>4</v>
      </c>
      <c r="D321" s="26" t="s">
        <v>5</v>
      </c>
    </row>
    <row r="322" spans="1:4" ht="12.75">
      <c r="A322" s="7" t="s">
        <v>2510</v>
      </c>
      <c r="B322" s="8">
        <v>251</v>
      </c>
      <c r="C322" s="9" t="str">
        <f>HYPERLINK("https://en.wikipedia.org/wiki/Zuma_(album)","Zuma")</f>
        <v>Zuma</v>
      </c>
      <c r="D322" s="7">
        <v>1975</v>
      </c>
    </row>
    <row r="323" spans="1:4" ht="12.75">
      <c r="A323" s="27" t="s">
        <v>2511</v>
      </c>
      <c r="B323" s="28">
        <v>210</v>
      </c>
      <c r="C323" s="29" t="str">
        <f t="shared" ref="C323:C324" si="30">HYPERLINK("https://en.wikipedia.org/wiki/On_the_Beach_(Neil_Young_album)","On the Beach")</f>
        <v>On the Beach</v>
      </c>
      <c r="D323" s="27">
        <v>1974</v>
      </c>
    </row>
    <row r="324" spans="1:4" ht="12.75">
      <c r="A324" s="7" t="s">
        <v>2512</v>
      </c>
      <c r="B324" s="8">
        <v>205</v>
      </c>
      <c r="C324" s="9" t="str">
        <f t="shared" si="30"/>
        <v>On the Beach</v>
      </c>
      <c r="D324" s="7">
        <v>1974</v>
      </c>
    </row>
    <row r="325" spans="1:4" ht="12.75">
      <c r="A325" s="27" t="s">
        <v>2513</v>
      </c>
      <c r="B325" s="28">
        <v>198</v>
      </c>
      <c r="C325" s="29" t="str">
        <f>HYPERLINK("https://en.wikipedia.org/wiki/After_the_Gold_Rush","After the Gold Rush")</f>
        <v>After the Gold Rush</v>
      </c>
      <c r="D325" s="27">
        <v>1970</v>
      </c>
    </row>
    <row r="326" spans="1:4" ht="12.75">
      <c r="A326" s="7" t="s">
        <v>2514</v>
      </c>
      <c r="B326" s="8">
        <v>184</v>
      </c>
      <c r="C326" s="9" t="str">
        <f>HYPERLINK("https://en.wikipedia.org/wiki/Everybody_Knows_This_Is_Nowhere","Everybody Knows This Is Nowhere")</f>
        <v>Everybody Knows This Is Nowhere</v>
      </c>
      <c r="D326" s="7">
        <v>1969</v>
      </c>
    </row>
    <row r="327" spans="1:4" ht="12.75">
      <c r="A327" s="27" t="s">
        <v>2515</v>
      </c>
      <c r="B327" s="28">
        <v>164</v>
      </c>
      <c r="C327" s="12" t="str">
        <f>HYPERLINK("https://en.wikipedia.org/wiki/Harvest_(Neil_Young_album)","Harvest")</f>
        <v>Harvest</v>
      </c>
      <c r="D327" s="27">
        <v>1972</v>
      </c>
    </row>
    <row r="328" spans="1:4" ht="12.75">
      <c r="A328" s="7" t="s">
        <v>2516</v>
      </c>
      <c r="B328" s="8">
        <v>161</v>
      </c>
      <c r="C328" s="9" t="str">
        <f>HYPERLINK("https://en.wikipedia.org/wiki/Rust_Never_Sleeps","Rust Never Sleeps")</f>
        <v>Rust Never Sleeps</v>
      </c>
      <c r="D328" s="7">
        <v>1979</v>
      </c>
    </row>
    <row r="329" spans="1:4" ht="12.75">
      <c r="A329" s="27" t="s">
        <v>2517</v>
      </c>
      <c r="B329" s="28">
        <v>158</v>
      </c>
      <c r="C329" s="29" t="str">
        <f>HYPERLINK("https://en.wikipedia.org/wiki/Harvest_(Neil_Young_album)","Harvest")</f>
        <v>Harvest</v>
      </c>
      <c r="D329" s="27">
        <v>1972</v>
      </c>
    </row>
    <row r="330" spans="1:4" ht="12.75">
      <c r="A330" s="7" t="s">
        <v>2518</v>
      </c>
      <c r="B330" s="8">
        <v>146</v>
      </c>
      <c r="C330" s="9" t="str">
        <f>HYPERLINK("https://en.wikipedia.org/wiki/Everybody_Knows_This_Is_Nowhere","Everybody Knows This Is Nowhere")</f>
        <v>Everybody Knows This Is Nowhere</v>
      </c>
      <c r="D330" s="7">
        <v>1969</v>
      </c>
    </row>
    <row r="331" spans="1:4" ht="12.75">
      <c r="A331" s="27" t="s">
        <v>2519</v>
      </c>
      <c r="B331" s="28">
        <v>142</v>
      </c>
      <c r="C331" s="29" t="str">
        <f>HYPERLINK("https://en.wikipedia.org/wiki/Harvest_Moon_(album)","Harvest Moon")</f>
        <v>Harvest Moon</v>
      </c>
      <c r="D331" s="27">
        <v>1992</v>
      </c>
    </row>
    <row r="332" spans="1:4" ht="12.75">
      <c r="A332" s="152"/>
      <c r="B332" s="153"/>
      <c r="C332" s="153"/>
      <c r="D332" s="154"/>
    </row>
    <row r="333" spans="1:4" ht="18">
      <c r="A333" s="22" t="s">
        <v>2520</v>
      </c>
      <c r="B333" s="30">
        <v>44264</v>
      </c>
      <c r="C333" s="24"/>
      <c r="D333" s="32" t="s">
        <v>1</v>
      </c>
    </row>
    <row r="334" spans="1:4" ht="12.75">
      <c r="A334" s="26" t="s">
        <v>2</v>
      </c>
      <c r="B334" s="26" t="s">
        <v>3</v>
      </c>
      <c r="C334" s="26" t="s">
        <v>4</v>
      </c>
      <c r="D334" s="26" t="s">
        <v>5</v>
      </c>
    </row>
    <row r="335" spans="1:4" ht="12.75">
      <c r="A335" s="7" t="s">
        <v>2521</v>
      </c>
      <c r="B335" s="8">
        <v>172</v>
      </c>
      <c r="C335" s="9" t="s">
        <v>2522</v>
      </c>
      <c r="D335" s="7">
        <v>2006</v>
      </c>
    </row>
    <row r="336" spans="1:4" ht="12.75">
      <c r="A336" s="27" t="s">
        <v>2523</v>
      </c>
      <c r="B336" s="28">
        <v>172</v>
      </c>
      <c r="C336" s="29" t="s">
        <v>2522</v>
      </c>
      <c r="D336" s="27">
        <v>2006</v>
      </c>
    </row>
    <row r="337" spans="1:4" ht="12.75">
      <c r="A337" s="7" t="s">
        <v>2524</v>
      </c>
      <c r="B337" s="8">
        <v>169</v>
      </c>
      <c r="C337" s="9" t="s">
        <v>2525</v>
      </c>
      <c r="D337" s="7">
        <v>2009</v>
      </c>
    </row>
    <row r="338" spans="1:4" ht="12.75">
      <c r="A338" s="27" t="s">
        <v>2526</v>
      </c>
      <c r="B338" s="28">
        <v>161</v>
      </c>
      <c r="C338" s="29" t="s">
        <v>2527</v>
      </c>
      <c r="D338" s="27">
        <v>2002</v>
      </c>
    </row>
    <row r="339" spans="1:4" ht="12.75">
      <c r="A339" s="7" t="s">
        <v>2528</v>
      </c>
      <c r="B339" s="8">
        <v>155</v>
      </c>
      <c r="C339" s="9" t="s">
        <v>2527</v>
      </c>
      <c r="D339" s="7">
        <v>2002</v>
      </c>
    </row>
    <row r="340" spans="1:4" ht="12.75">
      <c r="A340" s="27" t="s">
        <v>2529</v>
      </c>
      <c r="B340" s="28">
        <v>85</v>
      </c>
      <c r="C340" s="29" t="s">
        <v>2525</v>
      </c>
      <c r="D340" s="27">
        <v>2009</v>
      </c>
    </row>
    <row r="341" spans="1:4" ht="12.75">
      <c r="A341" s="7" t="s">
        <v>2530</v>
      </c>
      <c r="B341" s="8">
        <v>72</v>
      </c>
      <c r="C341" s="9" t="s">
        <v>2531</v>
      </c>
      <c r="D341" s="7">
        <v>2013</v>
      </c>
    </row>
    <row r="342" spans="1:4" ht="12.75">
      <c r="A342" s="27" t="s">
        <v>2532</v>
      </c>
      <c r="B342" s="28">
        <v>70</v>
      </c>
      <c r="C342" s="29" t="s">
        <v>2522</v>
      </c>
      <c r="D342" s="27">
        <v>2006</v>
      </c>
    </row>
    <row r="343" spans="1:4" ht="12.75">
      <c r="A343" s="7" t="s">
        <v>2533</v>
      </c>
      <c r="B343" s="8">
        <v>60</v>
      </c>
      <c r="C343" s="9" t="s">
        <v>2522</v>
      </c>
      <c r="D343" s="7">
        <v>2006</v>
      </c>
    </row>
    <row r="344" spans="1:4" ht="12.75">
      <c r="A344" s="27" t="s">
        <v>2534</v>
      </c>
      <c r="B344" s="28">
        <v>53</v>
      </c>
      <c r="C344" s="29" t="s">
        <v>2531</v>
      </c>
      <c r="D344" s="27">
        <v>2013</v>
      </c>
    </row>
    <row r="345" spans="1:4" ht="12.75">
      <c r="A345" s="152"/>
      <c r="B345" s="153"/>
      <c r="C345" s="153"/>
      <c r="D345" s="154"/>
    </row>
    <row r="346" spans="1:4" ht="18">
      <c r="A346" s="22" t="str">
        <f>HYPERLINK("https://www.reddit.com/r/indieheads/comments/740791/top_ten_tuesday_neon_indian/","Neon Indian")</f>
        <v>Neon Indian</v>
      </c>
      <c r="B346" s="30">
        <v>43011</v>
      </c>
      <c r="C346" s="24"/>
      <c r="D346" s="24"/>
    </row>
    <row r="347" spans="1:4" ht="12.75">
      <c r="A347" s="26" t="s">
        <v>2</v>
      </c>
      <c r="B347" s="26" t="s">
        <v>3</v>
      </c>
      <c r="C347" s="26" t="s">
        <v>4</v>
      </c>
      <c r="D347" s="26" t="s">
        <v>5</v>
      </c>
    </row>
    <row r="348" spans="1:4" ht="12.75">
      <c r="A348" s="7" t="s">
        <v>2535</v>
      </c>
      <c r="B348" s="8">
        <v>255</v>
      </c>
      <c r="C348" s="64" t="str">
        <f>HYPERLINK("https://en.wikipedia.org/wiki/Era_Extra%C3%B1a","Era Extraña")</f>
        <v>Era Extraña</v>
      </c>
      <c r="D348" s="7">
        <v>2011</v>
      </c>
    </row>
    <row r="349" spans="1:4" ht="12.75">
      <c r="A349" s="27" t="s">
        <v>2536</v>
      </c>
      <c r="B349" s="28">
        <v>220</v>
      </c>
      <c r="C349" s="29" t="str">
        <f t="shared" ref="C349:C350" si="31">HYPERLINK("https://en.wikipedia.org/wiki/Vega_Intl._Night_School","Vega Intl. Night School")</f>
        <v>Vega Intl. Night School</v>
      </c>
      <c r="D349" s="27">
        <v>2015</v>
      </c>
    </row>
    <row r="350" spans="1:4" ht="12.75">
      <c r="A350" s="7" t="s">
        <v>2537</v>
      </c>
      <c r="B350" s="8">
        <v>183</v>
      </c>
      <c r="C350" s="9" t="str">
        <f t="shared" si="31"/>
        <v>Vega Intl. Night School</v>
      </c>
      <c r="D350" s="7">
        <v>2015</v>
      </c>
    </row>
    <row r="351" spans="1:4" ht="12.75">
      <c r="A351" s="27" t="s">
        <v>2538</v>
      </c>
      <c r="B351" s="28">
        <v>162</v>
      </c>
      <c r="C351" s="29" t="str">
        <f>HYPERLINK("https://en.wikipedia.org/wiki/Psychic_Chasms","Psychic Chasms")</f>
        <v>Psychic Chasms</v>
      </c>
      <c r="D351" s="27">
        <v>2009</v>
      </c>
    </row>
    <row r="352" spans="1:4" ht="12.75">
      <c r="A352" s="7" t="s">
        <v>2539</v>
      </c>
      <c r="B352" s="8">
        <v>105</v>
      </c>
      <c r="C352" s="64" t="str">
        <f>HYPERLINK("https://en.wikipedia.org/wiki/Era_Extra%C3%B1a","Era Extraña")</f>
        <v>Era Extraña</v>
      </c>
      <c r="D352" s="7">
        <v>2011</v>
      </c>
    </row>
    <row r="353" spans="1:4" ht="12.75">
      <c r="A353" s="27" t="s">
        <v>2540</v>
      </c>
      <c r="B353" s="28">
        <v>105</v>
      </c>
      <c r="C353" s="29" t="str">
        <f t="shared" ref="C353:C354" si="32">HYPERLINK("https://en.wikipedia.org/wiki/Vega_Intl._Night_School","Vega Intl. Night School")</f>
        <v>Vega Intl. Night School</v>
      </c>
      <c r="D353" s="27">
        <v>2015</v>
      </c>
    </row>
    <row r="354" spans="1:4" ht="12.75">
      <c r="A354" s="7" t="s">
        <v>2541</v>
      </c>
      <c r="B354" s="8">
        <v>98</v>
      </c>
      <c r="C354" s="9" t="str">
        <f t="shared" si="32"/>
        <v>Vega Intl. Night School</v>
      </c>
      <c r="D354" s="7">
        <v>2015</v>
      </c>
    </row>
    <row r="355" spans="1:4" ht="12.75">
      <c r="A355" s="27" t="s">
        <v>2542</v>
      </c>
      <c r="B355" s="28">
        <v>91</v>
      </c>
      <c r="C355" s="29" t="str">
        <f>HYPERLINK("https://en.wikipedia.org/wiki/Psychic_Chasms","Psychic Chasms")</f>
        <v>Psychic Chasms</v>
      </c>
      <c r="D355" s="27">
        <v>2009</v>
      </c>
    </row>
    <row r="356" spans="1:4" ht="12.75">
      <c r="A356" s="7" t="s">
        <v>2543</v>
      </c>
      <c r="B356" s="8">
        <v>85</v>
      </c>
      <c r="C356" s="64" t="str">
        <f>HYPERLINK("https://en.wikipedia.org/wiki/Era_Extra%C3%B1a","Era Extraña")</f>
        <v>Era Extraña</v>
      </c>
      <c r="D356" s="7">
        <v>2011</v>
      </c>
    </row>
    <row r="357" spans="1:4" ht="12.75">
      <c r="A357" s="27" t="s">
        <v>2544</v>
      </c>
      <c r="B357" s="28">
        <v>77</v>
      </c>
      <c r="C357" s="29" t="str">
        <f>HYPERLINK("https://en.wikipedia.org/wiki/Psychic_Chasms","Psychic Chasms")</f>
        <v>Psychic Chasms</v>
      </c>
      <c r="D357" s="27">
        <v>2009</v>
      </c>
    </row>
    <row r="358" spans="1:4" ht="12.75">
      <c r="A358" s="152"/>
      <c r="B358" s="153"/>
      <c r="C358" s="153"/>
      <c r="D358" s="154"/>
    </row>
    <row r="359" spans="1:4" ht="18">
      <c r="A359" s="22" t="s">
        <v>2545</v>
      </c>
      <c r="B359" s="30">
        <v>43998</v>
      </c>
      <c r="C359" s="101"/>
      <c r="D359" s="32" t="s">
        <v>1</v>
      </c>
    </row>
    <row r="360" spans="1:4" ht="12.75">
      <c r="A360" s="33" t="s">
        <v>2</v>
      </c>
      <c r="B360" s="33" t="s">
        <v>3</v>
      </c>
      <c r="C360" s="33" t="s">
        <v>4</v>
      </c>
      <c r="D360" s="33" t="s">
        <v>5</v>
      </c>
    </row>
    <row r="361" spans="1:4" ht="12.75">
      <c r="A361" s="7" t="s">
        <v>2546</v>
      </c>
      <c r="B361" s="8">
        <v>123</v>
      </c>
      <c r="C361" s="9" t="s">
        <v>2545</v>
      </c>
      <c r="D361" s="7">
        <v>1972</v>
      </c>
    </row>
    <row r="362" spans="1:4" ht="12.75">
      <c r="A362" s="27" t="s">
        <v>2547</v>
      </c>
      <c r="B362" s="28">
        <v>109</v>
      </c>
      <c r="C362" s="29" t="s">
        <v>2548</v>
      </c>
      <c r="D362" s="27">
        <v>1975</v>
      </c>
    </row>
    <row r="363" spans="1:4" ht="12.75">
      <c r="A363" s="7" t="s">
        <v>2549</v>
      </c>
      <c r="B363" s="8">
        <v>99</v>
      </c>
      <c r="C363" s="9" t="s">
        <v>2550</v>
      </c>
      <c r="D363" s="7">
        <v>1973</v>
      </c>
    </row>
    <row r="364" spans="1:4" ht="12.75">
      <c r="A364" s="27" t="s">
        <v>2551</v>
      </c>
      <c r="B364" s="28">
        <v>62</v>
      </c>
      <c r="C364" s="29" t="s">
        <v>2545</v>
      </c>
      <c r="D364" s="27">
        <v>1972</v>
      </c>
    </row>
    <row r="365" spans="1:4" ht="12.75">
      <c r="A365" s="7" t="s">
        <v>2552</v>
      </c>
      <c r="B365" s="8">
        <v>51</v>
      </c>
      <c r="C365" s="9" t="s">
        <v>2548</v>
      </c>
      <c r="D365" s="7">
        <v>1975</v>
      </c>
    </row>
    <row r="366" spans="1:4" ht="12.75">
      <c r="A366" s="27" t="s">
        <v>2553</v>
      </c>
      <c r="B366" s="28">
        <v>50</v>
      </c>
      <c r="C366" s="29" t="s">
        <v>2548</v>
      </c>
      <c r="D366" s="27">
        <v>1975</v>
      </c>
    </row>
    <row r="367" spans="1:4" ht="12.75">
      <c r="A367" s="7" t="s">
        <v>2554</v>
      </c>
      <c r="B367" s="8">
        <v>49</v>
      </c>
      <c r="C367" s="9" t="s">
        <v>2548</v>
      </c>
      <c r="D367" s="7">
        <v>1975</v>
      </c>
    </row>
    <row r="368" spans="1:4" ht="12.75">
      <c r="A368" s="27" t="s">
        <v>2555</v>
      </c>
      <c r="B368" s="28">
        <v>45</v>
      </c>
      <c r="C368" s="29" t="s">
        <v>2545</v>
      </c>
      <c r="D368" s="27">
        <v>1972</v>
      </c>
    </row>
    <row r="369" spans="1:4" ht="12.75">
      <c r="A369" s="7" t="s">
        <v>2556</v>
      </c>
      <c r="B369" s="8">
        <v>43</v>
      </c>
      <c r="C369" s="9" t="s">
        <v>2550</v>
      </c>
      <c r="D369" s="7">
        <v>1973</v>
      </c>
    </row>
    <row r="370" spans="1:4" ht="12.75">
      <c r="A370" s="27" t="s">
        <v>2557</v>
      </c>
      <c r="B370" s="28">
        <v>36</v>
      </c>
      <c r="C370" s="29" t="s">
        <v>2550</v>
      </c>
      <c r="D370" s="27">
        <v>1973</v>
      </c>
    </row>
    <row r="371" spans="1:4" ht="12.75">
      <c r="A371" s="152"/>
      <c r="B371" s="153"/>
      <c r="C371" s="153"/>
      <c r="D371" s="154"/>
    </row>
    <row r="372" spans="1:4" ht="18">
      <c r="A372" s="22" t="str">
        <f>HYPERLINK("https://www.reddit.com/r/indieheads/comments/3cfona/top_ten_tuesday_neutral_milk_hotel/","Neutral Milk Hotel")</f>
        <v>Neutral Milk Hotel</v>
      </c>
      <c r="B372" s="23">
        <v>42192</v>
      </c>
      <c r="C372" s="24"/>
      <c r="D372" s="32" t="s">
        <v>1</v>
      </c>
    </row>
    <row r="373" spans="1:4" ht="12.75">
      <c r="A373" s="26" t="s">
        <v>2</v>
      </c>
      <c r="B373" s="26" t="s">
        <v>3</v>
      </c>
      <c r="C373" s="26" t="s">
        <v>4</v>
      </c>
      <c r="D373" s="26" t="s">
        <v>5</v>
      </c>
    </row>
    <row r="374" spans="1:4" ht="12.75">
      <c r="A374" s="61" t="str">
        <f>HYPERLINK("https://www.youtube.com/watch?v=21exnGWN-uI","Two-Headed Boy Pt. 2")</f>
        <v>Two-Headed Boy Pt. 2</v>
      </c>
      <c r="B374" s="8">
        <v>256</v>
      </c>
      <c r="C374" s="9" t="str">
        <f t="shared" ref="C374:C377" si="33">HYPERLINK("https://en.wikipedia.org/wiki/In_the_Aeroplane_over_the_Sea","In the Aeroplane Over the Sea")</f>
        <v>In the Aeroplane Over the Sea</v>
      </c>
      <c r="D374" s="7">
        <v>1998</v>
      </c>
    </row>
    <row r="375" spans="1:4" ht="12.75">
      <c r="A375" s="46" t="str">
        <f>HYPERLINK("https://www.youtube.com/watch?v=XLaFLztnL84","Holland, 1945")</f>
        <v>Holland, 1945</v>
      </c>
      <c r="B375" s="28">
        <v>256</v>
      </c>
      <c r="C375" s="29" t="str">
        <f t="shared" si="33"/>
        <v>In the Aeroplane Over the Sea</v>
      </c>
      <c r="D375" s="27">
        <v>1998</v>
      </c>
    </row>
    <row r="376" spans="1:4" ht="12.75">
      <c r="A376" s="61" t="str">
        <f>HYPERLINK("https://www.youtube.com/watch?v=Z-fjyEIgWik","Oh Comely")</f>
        <v>Oh Comely</v>
      </c>
      <c r="B376" s="8">
        <v>208</v>
      </c>
      <c r="C376" s="9" t="str">
        <f t="shared" si="33"/>
        <v>In the Aeroplane Over the Sea</v>
      </c>
      <c r="D376" s="7">
        <v>1998</v>
      </c>
    </row>
    <row r="377" spans="1:4" ht="12.75">
      <c r="A377" s="46" t="str">
        <f>HYPERLINK("https://www.youtube.com/watch?v=hD6_QXwKesU","In the Aeroplane Over the Sea")</f>
        <v>In the Aeroplane Over the Sea</v>
      </c>
      <c r="B377" s="28">
        <v>198</v>
      </c>
      <c r="C377" s="29" t="str">
        <f t="shared" si="33"/>
        <v>In the Aeroplane Over the Sea</v>
      </c>
      <c r="D377" s="27">
        <v>1998</v>
      </c>
    </row>
    <row r="378" spans="1:4" ht="12.75">
      <c r="A378" s="61" t="str">
        <f>HYPERLINK("https://www.youtube.com/watch?v=9Ooj6pEd6YM","Naomi")</f>
        <v>Naomi</v>
      </c>
      <c r="B378" s="8">
        <v>186</v>
      </c>
      <c r="C378" s="9" t="str">
        <f>HYPERLINK("https://en.wikipedia.org/wiki/On_Avery_Island","On Avery Island")</f>
        <v>On Avery Island</v>
      </c>
      <c r="D378" s="7">
        <v>1996</v>
      </c>
    </row>
    <row r="379" spans="1:4" ht="12.75">
      <c r="A379" s="46" t="str">
        <f>HYPERLINK("https://www.youtube.com/watch?v=K-KQXpgEAFM","Engine")</f>
        <v>Engine</v>
      </c>
      <c r="B379" s="28">
        <v>172</v>
      </c>
      <c r="C379" s="29" t="str">
        <f>HYPERLINK("https://en.wikipedia.org/wiki/Ferris_Wheel_on_Fire","Ferris Wheel on Fire")</f>
        <v>Ferris Wheel on Fire</v>
      </c>
      <c r="D379" s="27">
        <v>1998</v>
      </c>
    </row>
    <row r="380" spans="1:4" ht="12.75">
      <c r="A380" s="61" t="str">
        <f>HYPERLINK("https://www.youtube.com/watch?v=TudLjZ_4VhU","Two-Headed Boy")</f>
        <v>Two-Headed Boy</v>
      </c>
      <c r="B380" s="8">
        <v>155</v>
      </c>
      <c r="C380" s="9" t="str">
        <f>HYPERLINK("https://en.wikipedia.org/wiki/In_the_Aeroplane_over_the_Sea","In the Aeroplane Over the Sea")</f>
        <v>In the Aeroplane Over the Sea</v>
      </c>
      <c r="D380" s="7">
        <v>1998</v>
      </c>
    </row>
    <row r="381" spans="1:4" ht="12.75">
      <c r="A381" s="46" t="str">
        <f>HYPERLINK("https://www.youtube.com/watch?v=u84f2wdl6f4","Song Against Sex")</f>
        <v>Song Against Sex</v>
      </c>
      <c r="B381" s="28">
        <v>139</v>
      </c>
      <c r="C381" s="29" t="str">
        <f>HYPERLINK("https://en.wikipedia.org/wiki/On_Avery_Island","On Avery Island")</f>
        <v>On Avery Island</v>
      </c>
      <c r="D381" s="27">
        <v>1996</v>
      </c>
    </row>
    <row r="382" spans="1:4" ht="12.75">
      <c r="A382" s="61" t="str">
        <f>HYPERLINK("https://www.youtube.com/watch?v=H-O0vHJzoFc","Ghost")</f>
        <v>Ghost</v>
      </c>
      <c r="B382" s="8">
        <v>138</v>
      </c>
      <c r="C382" s="9" t="str">
        <f t="shared" ref="C382:C383" si="34">HYPERLINK("https://en.wikipedia.org/wiki/In_the_Aeroplane_over_the_Sea","In the Aeroplane Over the Sea")</f>
        <v>In the Aeroplane Over the Sea</v>
      </c>
      <c r="D382" s="7">
        <v>1998</v>
      </c>
    </row>
    <row r="383" spans="1:4" ht="12.75">
      <c r="A383" s="140" t="str">
        <f>HYPERLINK("https://www.youtube.com/watch?v=LULmbLlPvVk","King of Carrot Flowers Pt. 1")</f>
        <v>King of Carrot Flowers Pt. 1</v>
      </c>
      <c r="B383" s="28">
        <v>137</v>
      </c>
      <c r="C383" s="29" t="str">
        <f t="shared" si="34"/>
        <v>In the Aeroplane Over the Sea</v>
      </c>
      <c r="D383" s="27">
        <v>1998</v>
      </c>
    </row>
    <row r="384" spans="1:4" ht="12.75">
      <c r="A384" s="152"/>
      <c r="B384" s="153"/>
      <c r="C384" s="153"/>
      <c r="D384" s="154"/>
    </row>
    <row r="385" spans="1:4" ht="18">
      <c r="A385" s="41" t="s">
        <v>2558</v>
      </c>
      <c r="B385" s="23">
        <v>44917</v>
      </c>
      <c r="C385" s="24"/>
      <c r="D385" s="24"/>
    </row>
    <row r="386" spans="1:4" ht="12.75">
      <c r="A386" s="26" t="s">
        <v>2</v>
      </c>
      <c r="B386" s="26" t="s">
        <v>3</v>
      </c>
      <c r="C386" s="26" t="s">
        <v>4</v>
      </c>
      <c r="D386" s="26" t="s">
        <v>5</v>
      </c>
    </row>
    <row r="387" spans="1:4" ht="12.75">
      <c r="A387" s="19" t="s">
        <v>2559</v>
      </c>
      <c r="B387" s="8">
        <v>309</v>
      </c>
      <c r="C387" s="19" t="s">
        <v>2560</v>
      </c>
      <c r="D387" s="7">
        <v>1983</v>
      </c>
    </row>
    <row r="388" spans="1:4" ht="12.75">
      <c r="A388" s="35" t="s">
        <v>2561</v>
      </c>
      <c r="B388" s="28">
        <v>265</v>
      </c>
      <c r="C388" s="35" t="s">
        <v>2562</v>
      </c>
      <c r="D388" s="27">
        <v>1986</v>
      </c>
    </row>
    <row r="389" spans="1:4" ht="12.75">
      <c r="A389" s="19" t="s">
        <v>1485</v>
      </c>
      <c r="B389" s="8">
        <v>233</v>
      </c>
      <c r="C389" s="19" t="s">
        <v>2563</v>
      </c>
      <c r="D389" s="7">
        <v>1981</v>
      </c>
    </row>
    <row r="390" spans="1:4" ht="12.75">
      <c r="A390" s="35" t="s">
        <v>2564</v>
      </c>
      <c r="B390" s="28">
        <v>230</v>
      </c>
      <c r="C390" s="35" t="s">
        <v>2565</v>
      </c>
      <c r="D390" s="27">
        <v>1982</v>
      </c>
    </row>
    <row r="391" spans="1:4" ht="12.75">
      <c r="A391" s="19" t="s">
        <v>2566</v>
      </c>
      <c r="B391" s="8">
        <v>215</v>
      </c>
      <c r="C391" s="19" t="s">
        <v>2567</v>
      </c>
      <c r="D391" s="7">
        <v>1983</v>
      </c>
    </row>
    <row r="392" spans="1:4" ht="12.75">
      <c r="A392" s="35" t="s">
        <v>2568</v>
      </c>
      <c r="B392" s="28">
        <v>104</v>
      </c>
      <c r="C392" s="35" t="s">
        <v>2560</v>
      </c>
      <c r="D392" s="27">
        <v>1983</v>
      </c>
    </row>
    <row r="393" spans="1:4" ht="12.75">
      <c r="A393" s="19" t="s">
        <v>2569</v>
      </c>
      <c r="B393" s="8">
        <v>89</v>
      </c>
      <c r="C393" s="19" t="s">
        <v>2570</v>
      </c>
      <c r="D393" s="7">
        <v>1985</v>
      </c>
    </row>
    <row r="394" spans="1:4" ht="12.75">
      <c r="A394" s="35" t="s">
        <v>1225</v>
      </c>
      <c r="B394" s="28">
        <v>89</v>
      </c>
      <c r="C394" s="20" t="s">
        <v>2571</v>
      </c>
      <c r="D394" s="27">
        <v>1993</v>
      </c>
    </row>
    <row r="395" spans="1:4" ht="12.75">
      <c r="A395" s="19" t="s">
        <v>2572</v>
      </c>
      <c r="B395" s="8">
        <v>88</v>
      </c>
      <c r="C395" s="19" t="s">
        <v>2573</v>
      </c>
      <c r="D395" s="7">
        <v>1987</v>
      </c>
    </row>
    <row r="396" spans="1:4" ht="12.75">
      <c r="A396" s="35" t="s">
        <v>2574</v>
      </c>
      <c r="B396" s="28">
        <v>80</v>
      </c>
      <c r="C396" s="35" t="s">
        <v>2560</v>
      </c>
      <c r="D396" s="27">
        <v>1983</v>
      </c>
    </row>
    <row r="397" spans="1:4" ht="12.75">
      <c r="A397" s="152"/>
      <c r="B397" s="153"/>
      <c r="C397" s="153"/>
      <c r="D397" s="154"/>
    </row>
    <row r="398" spans="1:4" ht="18">
      <c r="A398" s="22" t="str">
        <f>HYPERLINK("https://www.reddit.com/r/indieheads/comments/6tulux/top_ten_tuesday_the_new_pornographers/","The New Pornographers")</f>
        <v>The New Pornographers</v>
      </c>
      <c r="B398" s="30">
        <v>42962</v>
      </c>
      <c r="C398" s="24"/>
      <c r="D398" s="24"/>
    </row>
    <row r="399" spans="1:4" ht="12.75">
      <c r="A399" s="26" t="s">
        <v>2</v>
      </c>
      <c r="B399" s="26" t="s">
        <v>3</v>
      </c>
      <c r="C399" s="26" t="s">
        <v>4</v>
      </c>
      <c r="D399" s="26" t="s">
        <v>5</v>
      </c>
    </row>
    <row r="400" spans="1:4" ht="12.75">
      <c r="A400" s="7" t="s">
        <v>2575</v>
      </c>
      <c r="B400" s="8">
        <v>138</v>
      </c>
      <c r="C400" s="9" t="str">
        <f>HYPERLINK("https://en.wikipedia.org/wiki/Mass_Romantic","Mass Romantic")</f>
        <v>Mass Romantic</v>
      </c>
      <c r="D400" s="7">
        <v>2000</v>
      </c>
    </row>
    <row r="401" spans="1:4" ht="12.75">
      <c r="A401" s="27" t="s">
        <v>2576</v>
      </c>
      <c r="B401" s="28">
        <v>128</v>
      </c>
      <c r="C401" s="29" t="str">
        <f t="shared" ref="C401:C402" si="35">HYPERLINK("https://en.wikipedia.org/wiki/Twin_Cinema","Twin Cinema")</f>
        <v>Twin Cinema</v>
      </c>
      <c r="D401" s="27">
        <v>2005</v>
      </c>
    </row>
    <row r="402" spans="1:4" ht="12.75">
      <c r="A402" s="7" t="s">
        <v>2577</v>
      </c>
      <c r="B402" s="8">
        <v>123</v>
      </c>
      <c r="C402" s="9" t="str">
        <f t="shared" si="35"/>
        <v>Twin Cinema</v>
      </c>
      <c r="D402" s="7">
        <v>2005</v>
      </c>
    </row>
    <row r="403" spans="1:4" ht="12.75">
      <c r="A403" s="27" t="s">
        <v>2578</v>
      </c>
      <c r="B403" s="28">
        <v>89</v>
      </c>
      <c r="C403" s="29" t="str">
        <f>HYPERLINK("https://en.wikipedia.org/wiki/Electric_Version","Electric Version")</f>
        <v>Electric Version</v>
      </c>
      <c r="D403" s="27">
        <v>2003</v>
      </c>
    </row>
    <row r="404" spans="1:4" ht="12.75">
      <c r="A404" s="7" t="s">
        <v>2579</v>
      </c>
      <c r="B404" s="8">
        <v>64</v>
      </c>
      <c r="C404" s="9" t="str">
        <f>HYPERLINK("https://en.wikipedia.org/wiki/Mass_Romantic","Mass Romantic")</f>
        <v>Mass Romantic</v>
      </c>
      <c r="D404" s="7">
        <v>2000</v>
      </c>
    </row>
    <row r="405" spans="1:4" ht="12.75">
      <c r="A405" s="27" t="s">
        <v>2580</v>
      </c>
      <c r="B405" s="28">
        <v>64</v>
      </c>
      <c r="C405" s="29" t="str">
        <f>HYPERLINK("https://en.wikipedia.org/wiki/Challengers_(album)","Challengers")</f>
        <v>Challengers</v>
      </c>
      <c r="D405" s="27">
        <v>2007</v>
      </c>
    </row>
    <row r="406" spans="1:4" ht="12.75">
      <c r="A406" s="7" t="s">
        <v>2581</v>
      </c>
      <c r="B406" s="8">
        <v>55</v>
      </c>
      <c r="C406" s="9" t="str">
        <f>HYPERLINK("https://en.wikipedia.org/wiki/Mass_Romantic","Mass Romantic")</f>
        <v>Mass Romantic</v>
      </c>
      <c r="D406" s="7">
        <v>2000</v>
      </c>
    </row>
    <row r="407" spans="1:4" ht="12.75">
      <c r="A407" s="27" t="s">
        <v>2582</v>
      </c>
      <c r="B407" s="28">
        <v>54</v>
      </c>
      <c r="C407" s="29" t="str">
        <f>HYPERLINK("https://en.wikipedia.org/wiki/Twin_Cinema","Twin Cinema")</f>
        <v>Twin Cinema</v>
      </c>
      <c r="D407" s="27">
        <v>2005</v>
      </c>
    </row>
    <row r="408" spans="1:4" ht="12.75">
      <c r="A408" s="7" t="s">
        <v>2583</v>
      </c>
      <c r="B408" s="8">
        <v>54</v>
      </c>
      <c r="C408" s="9" t="str">
        <f>HYPERLINK("https://en.wikipedia.org/wiki/Electric_Version","Electric Version")</f>
        <v>Electric Version</v>
      </c>
      <c r="D408" s="7">
        <v>2003</v>
      </c>
    </row>
    <row r="409" spans="1:4" ht="12.75">
      <c r="A409" s="27" t="s">
        <v>2584</v>
      </c>
      <c r="B409" s="28">
        <v>50</v>
      </c>
      <c r="C409" s="29" t="str">
        <f>HYPERLINK("https://en.wikipedia.org/wiki/Twin_Cinema","Twin Cinema")</f>
        <v>Twin Cinema</v>
      </c>
      <c r="D409" s="27">
        <v>2005</v>
      </c>
    </row>
    <row r="410" spans="1:4" ht="12.75">
      <c r="A410" s="152"/>
      <c r="B410" s="153"/>
      <c r="C410" s="153"/>
      <c r="D410" s="154"/>
    </row>
    <row r="411" spans="1:4" ht="18">
      <c r="A411" s="41" t="s">
        <v>2585</v>
      </c>
      <c r="B411" s="30">
        <v>44833</v>
      </c>
      <c r="C411" s="24"/>
      <c r="D411" s="24"/>
    </row>
    <row r="412" spans="1:4" ht="12.75">
      <c r="A412" s="26" t="s">
        <v>2</v>
      </c>
      <c r="B412" s="26" t="s">
        <v>3</v>
      </c>
      <c r="C412" s="26" t="s">
        <v>4</v>
      </c>
      <c r="D412" s="26" t="s">
        <v>5</v>
      </c>
    </row>
    <row r="413" spans="1:4" ht="12.75">
      <c r="A413" s="7" t="s">
        <v>2586</v>
      </c>
      <c r="B413" s="8">
        <v>107</v>
      </c>
      <c r="C413" s="19" t="s">
        <v>2587</v>
      </c>
      <c r="D413" s="7">
        <v>1988</v>
      </c>
    </row>
    <row r="414" spans="1:4" ht="12.75">
      <c r="A414" s="27" t="s">
        <v>2588</v>
      </c>
      <c r="B414" s="28">
        <v>81</v>
      </c>
      <c r="C414" s="35" t="s">
        <v>2589</v>
      </c>
      <c r="D414" s="27">
        <v>2013</v>
      </c>
    </row>
    <row r="415" spans="1:4" ht="12.75">
      <c r="A415" s="7" t="s">
        <v>2590</v>
      </c>
      <c r="B415" s="8">
        <v>64</v>
      </c>
      <c r="C415" s="19" t="s">
        <v>2591</v>
      </c>
      <c r="D415" s="7">
        <v>1990</v>
      </c>
    </row>
    <row r="416" spans="1:4" ht="12.75">
      <c r="A416" s="65" t="s">
        <v>2592</v>
      </c>
      <c r="B416" s="66">
        <v>62</v>
      </c>
      <c r="C416" s="67" t="s">
        <v>2593</v>
      </c>
      <c r="D416" s="65">
        <v>1997</v>
      </c>
    </row>
    <row r="417" spans="1:4" ht="12.75">
      <c r="A417" s="7" t="s">
        <v>2594</v>
      </c>
      <c r="B417" s="8">
        <v>54</v>
      </c>
      <c r="C417" s="19" t="s">
        <v>2595</v>
      </c>
      <c r="D417" s="7">
        <v>2004</v>
      </c>
    </row>
    <row r="418" spans="1:4" ht="12.75">
      <c r="A418" s="65" t="s">
        <v>2596</v>
      </c>
      <c r="B418" s="66">
        <v>53</v>
      </c>
      <c r="C418" s="67" t="s">
        <v>2589</v>
      </c>
      <c r="D418" s="65">
        <v>2013</v>
      </c>
    </row>
    <row r="419" spans="1:4" ht="12.75">
      <c r="A419" s="7" t="s">
        <v>2597</v>
      </c>
      <c r="B419" s="8">
        <v>50</v>
      </c>
      <c r="C419" s="19" t="s">
        <v>2598</v>
      </c>
      <c r="D419" s="7">
        <v>1996</v>
      </c>
    </row>
    <row r="420" spans="1:4" ht="12.75">
      <c r="A420" s="65" t="s">
        <v>2599</v>
      </c>
      <c r="B420" s="66">
        <v>46</v>
      </c>
      <c r="C420" s="67" t="s">
        <v>2600</v>
      </c>
      <c r="D420" s="65">
        <v>1992</v>
      </c>
    </row>
    <row r="421" spans="1:4" ht="12.75">
      <c r="A421" s="7" t="s">
        <v>2601</v>
      </c>
      <c r="B421" s="8">
        <v>45</v>
      </c>
      <c r="C421" s="19" t="s">
        <v>2595</v>
      </c>
      <c r="D421" s="7">
        <v>1994</v>
      </c>
    </row>
    <row r="422" spans="1:4" ht="12.75">
      <c r="A422" s="65" t="s">
        <v>2602</v>
      </c>
      <c r="B422" s="66">
        <v>44</v>
      </c>
      <c r="C422" s="67" t="s">
        <v>2603</v>
      </c>
      <c r="D422" s="65">
        <v>2016</v>
      </c>
    </row>
    <row r="423" spans="1:4" ht="12.75">
      <c r="A423" s="152"/>
      <c r="B423" s="153"/>
      <c r="C423" s="153"/>
      <c r="D423" s="154"/>
    </row>
    <row r="424" spans="1:4" ht="18">
      <c r="A424" s="22" t="str">
        <f>HYPERLINK("https://www.reddit.com/r/indieheads/comments/5n6y8w/top_ten_tuesday_nick_drake/","Nick Drake")</f>
        <v>Nick Drake</v>
      </c>
      <c r="B424" s="30">
        <v>42745</v>
      </c>
      <c r="C424" s="24"/>
      <c r="D424" s="24"/>
    </row>
    <row r="425" spans="1:4" ht="12.75">
      <c r="A425" s="26" t="s">
        <v>2</v>
      </c>
      <c r="B425" s="26" t="s">
        <v>3</v>
      </c>
      <c r="C425" s="26" t="s">
        <v>4</v>
      </c>
      <c r="D425" s="26" t="s">
        <v>5</v>
      </c>
    </row>
    <row r="426" spans="1:4" ht="12.75">
      <c r="A426" s="7" t="s">
        <v>2604</v>
      </c>
      <c r="B426" s="8">
        <v>169</v>
      </c>
      <c r="C426" s="9" t="str">
        <f t="shared" ref="C426:C427" si="36">HYPERLINK("https://en.wikipedia.org/wiki/Pink_Moon","Pink Moon")</f>
        <v>Pink Moon</v>
      </c>
      <c r="D426" s="7">
        <v>1972</v>
      </c>
    </row>
    <row r="427" spans="1:4" ht="12.75">
      <c r="A427" s="27" t="s">
        <v>2605</v>
      </c>
      <c r="B427" s="28">
        <v>110</v>
      </c>
      <c r="C427" s="29" t="str">
        <f t="shared" si="36"/>
        <v>Pink Moon</v>
      </c>
      <c r="D427" s="27">
        <v>1972</v>
      </c>
    </row>
    <row r="428" spans="1:4" ht="12.75">
      <c r="A428" s="7" t="s">
        <v>2606</v>
      </c>
      <c r="B428" s="8">
        <v>109</v>
      </c>
      <c r="C428" s="9" t="str">
        <f>HYPERLINK("https://en.wikipedia.org/wiki/Five_Leaves_Left","Five Leaves Left")</f>
        <v>Five Leaves Left</v>
      </c>
      <c r="D428" s="7">
        <v>1969</v>
      </c>
    </row>
    <row r="429" spans="1:4" ht="12.75">
      <c r="A429" s="27" t="s">
        <v>2607</v>
      </c>
      <c r="B429" s="28">
        <v>106</v>
      </c>
      <c r="C429" s="29" t="str">
        <f t="shared" ref="C429:C430" si="37">HYPERLINK("https://en.wikipedia.org/wiki/Pink_Moon","Pink Moon")</f>
        <v>Pink Moon</v>
      </c>
      <c r="D429" s="27">
        <v>1972</v>
      </c>
    </row>
    <row r="430" spans="1:4" ht="12.75">
      <c r="A430" s="7" t="s">
        <v>2608</v>
      </c>
      <c r="B430" s="8">
        <v>101</v>
      </c>
      <c r="C430" s="9" t="str">
        <f t="shared" si="37"/>
        <v>Pink Moon</v>
      </c>
      <c r="D430" s="7">
        <v>1972</v>
      </c>
    </row>
    <row r="431" spans="1:4" ht="12.75">
      <c r="A431" s="27" t="s">
        <v>2609</v>
      </c>
      <c r="B431" s="28">
        <v>84</v>
      </c>
      <c r="C431" s="29" t="str">
        <f>HYPERLINK("https://en.wikipedia.org/wiki/Bryter_Layter","Bryter Layter")</f>
        <v>Bryter Layter</v>
      </c>
      <c r="D431" s="27">
        <v>1970</v>
      </c>
    </row>
    <row r="432" spans="1:4" ht="12.75">
      <c r="A432" s="7" t="s">
        <v>2610</v>
      </c>
      <c r="B432" s="8">
        <v>82</v>
      </c>
      <c r="C432" s="9" t="str">
        <f>HYPERLINK("https://en.wikipedia.org/wiki/Pink_Moon","Pink Moon")</f>
        <v>Pink Moon</v>
      </c>
      <c r="D432" s="7">
        <v>1972</v>
      </c>
    </row>
    <row r="433" spans="1:4" ht="12.75">
      <c r="A433" s="27" t="s">
        <v>2611</v>
      </c>
      <c r="B433" s="28">
        <v>82</v>
      </c>
      <c r="C433" s="29" t="str">
        <f>HYPERLINK("https://en.wikipedia.org/wiki/Five_Leaves_Left","Five Leaves Left")</f>
        <v>Five Leaves Left</v>
      </c>
      <c r="D433" s="27">
        <v>1969</v>
      </c>
    </row>
    <row r="434" spans="1:4" ht="12.75">
      <c r="A434" s="7" t="s">
        <v>2612</v>
      </c>
      <c r="B434" s="8">
        <v>76</v>
      </c>
      <c r="C434" s="9" t="str">
        <f t="shared" ref="C434:C435" si="38">HYPERLINK("https://en.wikipedia.org/wiki/Pink_Moon","Pink Moon")</f>
        <v>Pink Moon</v>
      </c>
      <c r="D434" s="7">
        <v>1972</v>
      </c>
    </row>
    <row r="435" spans="1:4" ht="12.75">
      <c r="A435" s="27" t="s">
        <v>2613</v>
      </c>
      <c r="B435" s="28">
        <v>60</v>
      </c>
      <c r="C435" s="29" t="str">
        <f t="shared" si="38"/>
        <v>Pink Moon</v>
      </c>
      <c r="D435" s="27">
        <v>1972</v>
      </c>
    </row>
    <row r="436" spans="1:4" ht="12.75">
      <c r="A436" s="152"/>
      <c r="B436" s="153"/>
      <c r="C436" s="153"/>
      <c r="D436" s="154"/>
    </row>
    <row r="437" spans="1:4" ht="18">
      <c r="A437" s="128" t="s">
        <v>3937</v>
      </c>
      <c r="B437" s="43">
        <v>44194</v>
      </c>
      <c r="C437" s="24"/>
      <c r="D437" s="32" t="s">
        <v>1</v>
      </c>
    </row>
    <row r="438" spans="1:4" ht="12.75">
      <c r="A438" s="26" t="s">
        <v>2</v>
      </c>
      <c r="B438" s="26" t="s">
        <v>3</v>
      </c>
      <c r="C438" s="26" t="s">
        <v>4</v>
      </c>
      <c r="D438" s="26" t="s">
        <v>5</v>
      </c>
    </row>
    <row r="439" spans="1:4" ht="12.75">
      <c r="A439" s="27" t="s">
        <v>2618</v>
      </c>
      <c r="B439" s="28">
        <v>86</v>
      </c>
      <c r="C439" s="29" t="s">
        <v>2619</v>
      </c>
      <c r="D439" s="27">
        <v>2011</v>
      </c>
    </row>
    <row r="440" spans="1:4" ht="12.75">
      <c r="A440" s="7" t="s">
        <v>2620</v>
      </c>
      <c r="B440" s="8">
        <v>80</v>
      </c>
      <c r="C440" s="7"/>
      <c r="D440" s="7">
        <v>2015</v>
      </c>
    </row>
    <row r="441" spans="1:4" ht="12.75">
      <c r="A441" s="7" t="s">
        <v>2622</v>
      </c>
      <c r="B441" s="8">
        <v>65</v>
      </c>
      <c r="C441" s="9" t="s">
        <v>2623</v>
      </c>
      <c r="D441" s="7">
        <v>2016</v>
      </c>
    </row>
    <row r="442" spans="1:4" ht="12.75">
      <c r="A442" s="27" t="s">
        <v>2624</v>
      </c>
      <c r="B442" s="28">
        <v>63</v>
      </c>
      <c r="C442" s="29" t="s">
        <v>2623</v>
      </c>
      <c r="D442" s="27">
        <v>2016</v>
      </c>
    </row>
    <row r="443" spans="1:4" ht="12.75">
      <c r="A443" s="7" t="s">
        <v>668</v>
      </c>
      <c r="B443" s="8">
        <v>60</v>
      </c>
      <c r="C443" s="9" t="s">
        <v>2625</v>
      </c>
      <c r="D443" s="7">
        <v>2015</v>
      </c>
    </row>
    <row r="444" spans="1:4" ht="12" customHeight="1">
      <c r="A444" s="27" t="s">
        <v>2626</v>
      </c>
      <c r="B444" s="28">
        <v>60</v>
      </c>
      <c r="C444" s="29" t="s">
        <v>2619</v>
      </c>
      <c r="D444" s="27">
        <v>2011</v>
      </c>
    </row>
    <row r="445" spans="1:4" ht="12" customHeight="1">
      <c r="A445" s="27"/>
      <c r="B445" s="28"/>
      <c r="C445" s="29"/>
      <c r="D445" s="27"/>
    </row>
    <row r="446" spans="1:4" ht="12" customHeight="1">
      <c r="A446" s="128" t="s">
        <v>3938</v>
      </c>
      <c r="B446" s="43">
        <v>44194</v>
      </c>
      <c r="C446" s="24"/>
      <c r="D446" s="32" t="s">
        <v>1</v>
      </c>
    </row>
    <row r="447" spans="1:4" ht="12" customHeight="1">
      <c r="A447" s="26" t="s">
        <v>2</v>
      </c>
      <c r="B447" s="26" t="s">
        <v>3</v>
      </c>
      <c r="C447" s="26" t="s">
        <v>4</v>
      </c>
      <c r="D447" s="26" t="s">
        <v>5</v>
      </c>
    </row>
    <row r="448" spans="1:4" ht="12" customHeight="1">
      <c r="A448" s="7" t="s">
        <v>2614</v>
      </c>
      <c r="B448" s="8">
        <v>101</v>
      </c>
      <c r="C448" s="9" t="s">
        <v>2615</v>
      </c>
      <c r="D448" s="7">
        <v>2018</v>
      </c>
    </row>
    <row r="449" spans="1:4" ht="12" customHeight="1">
      <c r="A449" s="27" t="s">
        <v>2616</v>
      </c>
      <c r="B449" s="28">
        <v>91</v>
      </c>
      <c r="C449" s="29" t="s">
        <v>2615</v>
      </c>
      <c r="D449" s="27">
        <v>2018</v>
      </c>
    </row>
    <row r="450" spans="1:4" ht="12" customHeight="1">
      <c r="A450" s="7" t="s">
        <v>2617</v>
      </c>
      <c r="B450" s="8">
        <v>88</v>
      </c>
      <c r="C450" s="9" t="s">
        <v>2615</v>
      </c>
      <c r="D450" s="7">
        <v>2018</v>
      </c>
    </row>
    <row r="451" spans="1:4" ht="12" customHeight="1">
      <c r="A451" s="27" t="s">
        <v>2621</v>
      </c>
      <c r="B451" s="28">
        <v>67</v>
      </c>
      <c r="C451" s="29" t="s">
        <v>2615</v>
      </c>
      <c r="D451" s="27">
        <v>2018</v>
      </c>
    </row>
    <row r="452" spans="1:4" ht="12.75">
      <c r="A452" s="152"/>
      <c r="B452" s="153"/>
      <c r="C452" s="153"/>
      <c r="D452" s="154"/>
    </row>
    <row r="453" spans="1:4" ht="18">
      <c r="A453" s="22" t="str">
        <f>HYPERLINK("https://www.reddit.com/r/indieheads/comments/cprq7l/top_ten_tuesday_nine_inch_nails/","Nine Inch Nails")</f>
        <v>Nine Inch Nails</v>
      </c>
      <c r="B453" s="30">
        <v>43690</v>
      </c>
      <c r="C453" s="24"/>
      <c r="D453" s="32" t="s">
        <v>1</v>
      </c>
    </row>
    <row r="454" spans="1:4" ht="12.75">
      <c r="A454" s="26" t="s">
        <v>2</v>
      </c>
      <c r="B454" s="26" t="s">
        <v>3</v>
      </c>
      <c r="C454" s="26" t="s">
        <v>4</v>
      </c>
      <c r="D454" s="26" t="s">
        <v>5</v>
      </c>
    </row>
    <row r="455" spans="1:4" ht="12.75">
      <c r="A455" s="7" t="s">
        <v>2627</v>
      </c>
      <c r="B455" s="8">
        <v>186</v>
      </c>
      <c r="C455" s="9" t="str">
        <f>HYPERLINK("https://en.wikipedia.org/wiki/Pretty_Hate_Machine","Pretty Hate Machine")</f>
        <v>Pretty Hate Machine</v>
      </c>
      <c r="D455" s="7">
        <v>1989</v>
      </c>
    </row>
    <row r="456" spans="1:4" ht="12.75">
      <c r="A456" s="27" t="s">
        <v>2628</v>
      </c>
      <c r="B456" s="28">
        <v>184</v>
      </c>
      <c r="C456" s="29" t="str">
        <f t="shared" ref="C456:C457" si="39">HYPERLINK("https://en.wikipedia.org/wiki/The_Fragile_(Nine_Inch_Nails_album)","The Fragile")</f>
        <v>The Fragile</v>
      </c>
      <c r="D456" s="27">
        <v>1999</v>
      </c>
    </row>
    <row r="457" spans="1:4" ht="12.75">
      <c r="A457" s="7" t="s">
        <v>2629</v>
      </c>
      <c r="B457" s="8">
        <v>180</v>
      </c>
      <c r="C457" s="9" t="str">
        <f t="shared" si="39"/>
        <v>The Fragile</v>
      </c>
      <c r="D457" s="7">
        <v>1999</v>
      </c>
    </row>
    <row r="458" spans="1:4" ht="12.75">
      <c r="A458" s="27" t="s">
        <v>2630</v>
      </c>
      <c r="B458" s="28">
        <v>167</v>
      </c>
      <c r="C458" s="29" t="str">
        <f t="shared" ref="C458:C459" si="40">HYPERLINK("https://en.wikipedia.org/wiki/The_Downward_Spiral","The Downward Spiral")</f>
        <v>The Downward Spiral</v>
      </c>
      <c r="D458" s="27">
        <v>1994</v>
      </c>
    </row>
    <row r="459" spans="1:4" ht="12.75">
      <c r="A459" s="7" t="s">
        <v>2631</v>
      </c>
      <c r="B459" s="8">
        <v>147</v>
      </c>
      <c r="C459" s="9" t="str">
        <f t="shared" si="40"/>
        <v>The Downward Spiral</v>
      </c>
      <c r="D459" s="7">
        <v>1994</v>
      </c>
    </row>
    <row r="460" spans="1:4" ht="12.75">
      <c r="A460" s="27" t="s">
        <v>2632</v>
      </c>
      <c r="B460" s="28">
        <v>142</v>
      </c>
      <c r="C460" s="29" t="str">
        <f>HYPERLINK("https://en.wikipedia.org/wiki/Wish_(Nine_Inch_Nails_song)","Broken EP")</f>
        <v>Broken EP</v>
      </c>
      <c r="D460" s="27">
        <v>1992</v>
      </c>
    </row>
    <row r="461" spans="1:4" ht="12.75">
      <c r="A461" s="7" t="s">
        <v>2633</v>
      </c>
      <c r="B461" s="8">
        <v>133</v>
      </c>
      <c r="C461" s="9" t="str">
        <f>HYPERLINK("https://en.wikipedia.org/wiki/The_Downward_Spiral","The Downward Spiral")</f>
        <v>The Downward Spiral</v>
      </c>
      <c r="D461" s="7">
        <v>1994</v>
      </c>
    </row>
    <row r="462" spans="1:4" ht="12.75">
      <c r="A462" s="27" t="s">
        <v>2634</v>
      </c>
      <c r="B462" s="28">
        <v>110</v>
      </c>
      <c r="C462" s="29" t="str">
        <f>HYPERLINK("https://en.wikipedia.org/wiki/Pretty_Hate_Machine","Pretty Hate Machine")</f>
        <v>Pretty Hate Machine</v>
      </c>
      <c r="D462" s="27">
        <v>1989</v>
      </c>
    </row>
    <row r="463" spans="1:4" ht="12.75">
      <c r="A463" s="7" t="s">
        <v>2635</v>
      </c>
      <c r="B463" s="8">
        <v>94</v>
      </c>
      <c r="C463" s="9" t="str">
        <f>HYPERLINK("https://en.wikipedia.org/wiki/The_Downward_Spiral","The Downward Spiral")</f>
        <v>The Downward Spiral</v>
      </c>
      <c r="D463" s="7">
        <v>1994</v>
      </c>
    </row>
    <row r="464" spans="1:4" ht="12.75">
      <c r="A464" s="27" t="s">
        <v>2636</v>
      </c>
      <c r="B464" s="28">
        <v>91</v>
      </c>
      <c r="C464" s="29" t="str">
        <f>HYPERLINK("https://en.wikipedia.org/wiki/The_Fragile_(Nine_Inch_Nails_album)","The Fragile")</f>
        <v>The Fragile</v>
      </c>
      <c r="D464" s="27">
        <v>1999</v>
      </c>
    </row>
    <row r="465" spans="1:4" ht="12.75">
      <c r="A465" s="152"/>
      <c r="B465" s="153"/>
      <c r="C465" s="153"/>
      <c r="D465" s="154"/>
    </row>
    <row r="466" spans="1:4" ht="18">
      <c r="A466" s="22" t="str">
        <f>HYPERLINK("https://www.reddit.com/r/indieheads/comments/67g8vr/top_ten_tuesday_nirvana/","Nirvana")</f>
        <v>Nirvana</v>
      </c>
      <c r="B466" s="30">
        <v>42850</v>
      </c>
      <c r="C466" s="24"/>
      <c r="D466" s="24"/>
    </row>
    <row r="467" spans="1:4" ht="12.75">
      <c r="A467" s="26" t="s">
        <v>2</v>
      </c>
      <c r="B467" s="26" t="s">
        <v>3</v>
      </c>
      <c r="C467" s="26" t="s">
        <v>4</v>
      </c>
      <c r="D467" s="26" t="s">
        <v>5</v>
      </c>
    </row>
    <row r="468" spans="1:4" ht="12.75">
      <c r="A468" s="7" t="s">
        <v>2637</v>
      </c>
      <c r="B468" s="8">
        <v>465</v>
      </c>
      <c r="C468" s="9" t="str">
        <f t="shared" ref="C468:C469" si="41">HYPERLINK("https://en.wikipedia.org/wiki/In_Utero_(album)","In Utero")</f>
        <v>In Utero</v>
      </c>
      <c r="D468" s="7">
        <v>1993</v>
      </c>
    </row>
    <row r="469" spans="1:4" ht="12.75">
      <c r="A469" s="27" t="s">
        <v>2638</v>
      </c>
      <c r="B469" s="28">
        <v>428</v>
      </c>
      <c r="C469" s="29" t="str">
        <f t="shared" si="41"/>
        <v>In Utero</v>
      </c>
      <c r="D469" s="27">
        <v>1993</v>
      </c>
    </row>
    <row r="470" spans="1:4" ht="12.75">
      <c r="A470" s="7" t="s">
        <v>2639</v>
      </c>
      <c r="B470" s="8">
        <v>419</v>
      </c>
      <c r="C470" s="9" t="str">
        <f>HYPERLINK("https://en.wikipedia.org/wiki/Nevermind","Nevermind")</f>
        <v>Nevermind</v>
      </c>
      <c r="D470" s="7">
        <v>1991</v>
      </c>
    </row>
    <row r="471" spans="1:4" ht="12.75">
      <c r="A471" s="27" t="s">
        <v>2640</v>
      </c>
      <c r="B471" s="28">
        <v>289</v>
      </c>
      <c r="C471" s="29" t="str">
        <f>HYPERLINK("https://en.wikipedia.org/wiki/Bleach_(Nirvana_album)","Bleach")</f>
        <v>Bleach</v>
      </c>
      <c r="D471" s="27">
        <v>1989</v>
      </c>
    </row>
    <row r="472" spans="1:4" ht="12.75">
      <c r="A472" s="7" t="s">
        <v>2641</v>
      </c>
      <c r="B472" s="8">
        <v>277</v>
      </c>
      <c r="C472" s="9" t="str">
        <f t="shared" ref="C472:C475" si="42">HYPERLINK("https://en.wikipedia.org/wiki/Nevermind","Nevermind")</f>
        <v>Nevermind</v>
      </c>
      <c r="D472" s="7">
        <v>1991</v>
      </c>
    </row>
    <row r="473" spans="1:4" ht="12.75">
      <c r="A473" s="27" t="s">
        <v>2642</v>
      </c>
      <c r="B473" s="28">
        <v>254</v>
      </c>
      <c r="C473" s="29" t="str">
        <f t="shared" si="42"/>
        <v>Nevermind</v>
      </c>
      <c r="D473" s="27">
        <v>1991</v>
      </c>
    </row>
    <row r="474" spans="1:4" ht="12.75">
      <c r="A474" s="7" t="s">
        <v>2643</v>
      </c>
      <c r="B474" s="8">
        <v>221</v>
      </c>
      <c r="C474" s="9" t="str">
        <f t="shared" si="42"/>
        <v>Nevermind</v>
      </c>
      <c r="D474" s="7">
        <v>1991</v>
      </c>
    </row>
    <row r="475" spans="1:4" ht="12.75">
      <c r="A475" s="27" t="s">
        <v>2644</v>
      </c>
      <c r="B475" s="28">
        <v>220</v>
      </c>
      <c r="C475" s="29" t="str">
        <f t="shared" si="42"/>
        <v>Nevermind</v>
      </c>
      <c r="D475" s="27">
        <v>1991</v>
      </c>
    </row>
    <row r="476" spans="1:4" ht="12.75">
      <c r="A476" s="7" t="s">
        <v>2645</v>
      </c>
      <c r="B476" s="8">
        <v>211</v>
      </c>
      <c r="C476" s="7" t="s">
        <v>2646</v>
      </c>
      <c r="D476" s="7">
        <v>1991</v>
      </c>
    </row>
    <row r="477" spans="1:4" ht="12.75">
      <c r="A477" s="27" t="s">
        <v>2647</v>
      </c>
      <c r="B477" s="28">
        <v>209</v>
      </c>
      <c r="C477" s="29" t="str">
        <f>HYPERLINK("https://en.wikipedia.org/wiki/Nevermind","Nevermind")</f>
        <v>Nevermind</v>
      </c>
      <c r="D477" s="27">
        <v>1991</v>
      </c>
    </row>
    <row r="478" spans="1:4" ht="12.75">
      <c r="A478" s="152"/>
      <c r="B478" s="153"/>
      <c r="C478" s="153"/>
      <c r="D478" s="154"/>
    </row>
    <row r="479" spans="1:4" ht="18">
      <c r="A479" s="22" t="str">
        <f>HYPERLINK("https://www.reddit.com/r/indieheads/comments/4xzktg/top_ten_tuesday_oasis/","Oasis")</f>
        <v>Oasis</v>
      </c>
      <c r="B479" s="43">
        <v>42598</v>
      </c>
      <c r="C479" s="24"/>
      <c r="D479" s="24"/>
    </row>
    <row r="480" spans="1:4" ht="12.75">
      <c r="A480" s="26" t="s">
        <v>2</v>
      </c>
      <c r="B480" s="26" t="s">
        <v>3</v>
      </c>
      <c r="C480" s="26" t="s">
        <v>4</v>
      </c>
      <c r="D480" s="26" t="s">
        <v>5</v>
      </c>
    </row>
    <row r="481" spans="1:4" ht="12.75">
      <c r="A481" s="7" t="s">
        <v>2648</v>
      </c>
      <c r="B481" s="8">
        <v>560</v>
      </c>
      <c r="C481" s="9" t="str">
        <f>HYPERLINK("https://en.wikipedia.org/wiki/(What%27s_the_Story)_Morning_Glory%3F","(What's the Story) Morning Glory?")</f>
        <v>(What's the Story) Morning Glory?</v>
      </c>
      <c r="D481" s="7">
        <v>1995</v>
      </c>
    </row>
    <row r="482" spans="1:4" ht="12.75">
      <c r="A482" s="27" t="s">
        <v>2649</v>
      </c>
      <c r="B482" s="28">
        <v>541</v>
      </c>
      <c r="C482" s="29" t="str">
        <f t="shared" ref="C482:C483" si="43">HYPERLINK("https://en.wikipedia.org/wiki/Definitely_Maybe","Definitely Maybe")</f>
        <v>Definitely Maybe</v>
      </c>
      <c r="D482" s="27">
        <v>1994</v>
      </c>
    </row>
    <row r="483" spans="1:4" ht="12.75">
      <c r="A483" s="7" t="s">
        <v>2650</v>
      </c>
      <c r="B483" s="8">
        <v>416</v>
      </c>
      <c r="C483" s="9" t="str">
        <f t="shared" si="43"/>
        <v>Definitely Maybe</v>
      </c>
      <c r="D483" s="7">
        <v>1994</v>
      </c>
    </row>
    <row r="484" spans="1:4" ht="12.75">
      <c r="A484" s="27" t="s">
        <v>2651</v>
      </c>
      <c r="B484" s="28">
        <v>410</v>
      </c>
      <c r="C484" s="29" t="str">
        <f t="shared" ref="C484:C485" si="44">HYPERLINK("https://en.wikipedia.org/wiki/(What%27s_the_Story)_Morning_Glory%3F","(What's the Story) Morning Glory?")</f>
        <v>(What's the Story) Morning Glory?</v>
      </c>
      <c r="D484" s="27">
        <v>1995</v>
      </c>
    </row>
    <row r="485" spans="1:4" ht="12.75">
      <c r="A485" s="7" t="s">
        <v>2652</v>
      </c>
      <c r="B485" s="8">
        <v>271</v>
      </c>
      <c r="C485" s="9" t="str">
        <f t="shared" si="44"/>
        <v>(What's the Story) Morning Glory?</v>
      </c>
      <c r="D485" s="7">
        <v>1995</v>
      </c>
    </row>
    <row r="486" spans="1:4" ht="12.75">
      <c r="A486" s="27" t="s">
        <v>2653</v>
      </c>
      <c r="B486" s="28">
        <v>264</v>
      </c>
      <c r="C486" s="29" t="str">
        <f>HYPERLINK("https://en.wikipedia.org/wiki/The_Masterplan_(album)","The Masterplan")</f>
        <v>The Masterplan</v>
      </c>
      <c r="D486" s="27">
        <v>1995</v>
      </c>
    </row>
    <row r="487" spans="1:4" ht="12.75">
      <c r="A487" s="7" t="s">
        <v>2654</v>
      </c>
      <c r="B487" s="8">
        <v>262</v>
      </c>
      <c r="C487" s="9" t="str">
        <f>HYPERLINK("https://en.wikipedia.org/wiki/Definitely_Maybe","Definitely Maybe")</f>
        <v>Definitely Maybe</v>
      </c>
      <c r="D487" s="7">
        <v>1994</v>
      </c>
    </row>
    <row r="488" spans="1:4" ht="12.75">
      <c r="A488" s="27" t="s">
        <v>2655</v>
      </c>
      <c r="B488" s="28">
        <v>169</v>
      </c>
      <c r="C488" s="29" t="str">
        <f>HYPERLINK("https://en.wikipedia.org/wiki/The_Masterplan_(album)","The Masterplan")</f>
        <v>The Masterplan</v>
      </c>
      <c r="D488" s="27">
        <v>1998</v>
      </c>
    </row>
    <row r="489" spans="1:4" ht="12.75">
      <c r="A489" s="7" t="s">
        <v>2656</v>
      </c>
      <c r="B489" s="8">
        <v>148</v>
      </c>
      <c r="C489" s="9" t="str">
        <f t="shared" ref="C489:C490" si="45">HYPERLINK("https://en.wikipedia.org/wiki/(What%27s_the_Story)_Morning_Glory%3F","(What's the Story) Morning Glory?")</f>
        <v>(What's the Story) Morning Glory?</v>
      </c>
      <c r="D489" s="7">
        <v>1995</v>
      </c>
    </row>
    <row r="490" spans="1:4" ht="12.75">
      <c r="A490" s="27" t="s">
        <v>2657</v>
      </c>
      <c r="B490" s="28">
        <v>147</v>
      </c>
      <c r="C490" s="29" t="str">
        <f t="shared" si="45"/>
        <v>(What's the Story) Morning Glory?</v>
      </c>
      <c r="D490" s="27">
        <v>1995</v>
      </c>
    </row>
    <row r="491" spans="1:4" ht="12.75">
      <c r="A491" s="152"/>
      <c r="B491" s="153"/>
      <c r="C491" s="153"/>
      <c r="D491" s="154"/>
    </row>
    <row r="492" spans="1:4" ht="18">
      <c r="A492" s="22" t="str">
        <f>HYPERLINK("https://www.reddit.com/r/indieheads/comments/43vwr8/top_ten_tuesday_of_montreal/","of Montreal")</f>
        <v>of Montreal</v>
      </c>
      <c r="B492" s="23">
        <v>42402</v>
      </c>
      <c r="C492" s="24"/>
      <c r="D492" s="24"/>
    </row>
    <row r="493" spans="1:4" ht="12.75">
      <c r="A493" s="26" t="s">
        <v>2</v>
      </c>
      <c r="B493" s="26" t="s">
        <v>3</v>
      </c>
      <c r="C493" s="26" t="s">
        <v>4</v>
      </c>
      <c r="D493" s="26" t="s">
        <v>5</v>
      </c>
    </row>
    <row r="494" spans="1:4" ht="12.75">
      <c r="A494" s="7" t="s">
        <v>2658</v>
      </c>
      <c r="B494" s="8">
        <v>238</v>
      </c>
      <c r="C494" s="9" t="str">
        <f t="shared" ref="C494:C497" si="46">HYPERLINK("https://en.wikipedia.org/wiki/Hissing_Fauna,_Are_You_the_Destroyer%3F","Hissing Fauna, Are You the Destroyer?")</f>
        <v>Hissing Fauna, Are You the Destroyer?</v>
      </c>
      <c r="D494" s="7">
        <v>2007</v>
      </c>
    </row>
    <row r="495" spans="1:4" ht="12.75">
      <c r="A495" s="27" t="s">
        <v>2659</v>
      </c>
      <c r="B495" s="28">
        <v>113</v>
      </c>
      <c r="C495" s="29" t="str">
        <f t="shared" si="46"/>
        <v>Hissing Fauna, Are You the Destroyer?</v>
      </c>
      <c r="D495" s="27">
        <v>2007</v>
      </c>
    </row>
    <row r="496" spans="1:4" ht="12.75">
      <c r="A496" s="7" t="s">
        <v>2660</v>
      </c>
      <c r="B496" s="8">
        <v>107</v>
      </c>
      <c r="C496" s="9" t="str">
        <f t="shared" si="46"/>
        <v>Hissing Fauna, Are You the Destroyer?</v>
      </c>
      <c r="D496" s="7">
        <v>2007</v>
      </c>
    </row>
    <row r="497" spans="1:4" ht="12.75">
      <c r="A497" s="27" t="s">
        <v>2661</v>
      </c>
      <c r="B497" s="28">
        <v>96</v>
      </c>
      <c r="C497" s="29" t="str">
        <f t="shared" si="46"/>
        <v>Hissing Fauna, Are You the Destroyer?</v>
      </c>
      <c r="D497" s="27">
        <v>2007</v>
      </c>
    </row>
    <row r="498" spans="1:4" ht="12.75">
      <c r="A498" s="7" t="s">
        <v>2662</v>
      </c>
      <c r="B498" s="8">
        <v>76</v>
      </c>
      <c r="C498" s="9" t="str">
        <f>HYPERLINK("https://en.wikipedia.org/wiki/The_Sunlandic_Twins","The Sunlandic Twins")</f>
        <v>The Sunlandic Twins</v>
      </c>
      <c r="D498" s="7">
        <v>2004</v>
      </c>
    </row>
    <row r="499" spans="1:4" ht="12.75">
      <c r="A499" s="27" t="s">
        <v>2663</v>
      </c>
      <c r="B499" s="28">
        <v>76</v>
      </c>
      <c r="C499" s="29" t="str">
        <f>HYPERLINK("https://en.wikipedia.org/wiki/Skeletal_Lamping","Skeletal Lamping")</f>
        <v>Skeletal Lamping</v>
      </c>
      <c r="D499" s="27">
        <v>2008</v>
      </c>
    </row>
    <row r="500" spans="1:4" ht="12.75">
      <c r="A500" s="7" t="s">
        <v>2664</v>
      </c>
      <c r="B500" s="8">
        <v>74</v>
      </c>
      <c r="C500" s="9" t="str">
        <f>HYPERLINK("https://en.wikipedia.org/wiki/Hissing_Fauna,_Are_You_the_Destroyer%3F","Hissing Fauna, Are You the Destroyer?")</f>
        <v>Hissing Fauna, Are You the Destroyer?</v>
      </c>
      <c r="D500" s="7">
        <v>2007</v>
      </c>
    </row>
    <row r="501" spans="1:4" ht="12.75">
      <c r="A501" s="27" t="s">
        <v>2665</v>
      </c>
      <c r="B501" s="28">
        <v>73</v>
      </c>
      <c r="C501" s="29" t="str">
        <f>HYPERLINK("https://en.wikipedia.org/wiki/Icons,_Abstract_Thee","Icons, Abstract Thee")</f>
        <v>Icons, Abstract Thee</v>
      </c>
      <c r="D501" s="27">
        <v>2007</v>
      </c>
    </row>
    <row r="502" spans="1:4" ht="12.75">
      <c r="A502" s="7" t="s">
        <v>2666</v>
      </c>
      <c r="B502" s="8">
        <v>69</v>
      </c>
      <c r="C502" s="9" t="str">
        <f>HYPERLINK("https://en.wikipedia.org/wiki/The_Sunlandic_Twins","The Sunlandic Twins")</f>
        <v>The Sunlandic Twins</v>
      </c>
      <c r="D502" s="7">
        <v>2005</v>
      </c>
    </row>
    <row r="503" spans="1:4" ht="12.75">
      <c r="A503" s="27" t="s">
        <v>2667</v>
      </c>
      <c r="B503" s="28">
        <v>66</v>
      </c>
      <c r="C503" s="29" t="str">
        <f>HYPERLINK("https://en.wikipedia.org/wiki/Satanic_Panic_in_the_Attic","Satanic Panic in the Attic")</f>
        <v>Satanic Panic in the Attic</v>
      </c>
      <c r="D503" s="27">
        <v>2004</v>
      </c>
    </row>
    <row r="504" spans="1:4" ht="12.75">
      <c r="A504" s="152"/>
      <c r="B504" s="153"/>
      <c r="C504" s="153"/>
      <c r="D504" s="154"/>
    </row>
    <row r="505" spans="1:4" ht="18">
      <c r="A505" s="22" t="str">
        <f>HYPERLINK("https://www.reddit.com/r/indieheads/comments/fwiuwp/top_ten_tuesday_oh_sees/","Oh Sees")</f>
        <v>Oh Sees</v>
      </c>
      <c r="B505" s="30">
        <v>43928</v>
      </c>
      <c r="C505" s="24"/>
      <c r="D505" s="32" t="s">
        <v>1</v>
      </c>
    </row>
    <row r="506" spans="1:4" ht="12.75">
      <c r="A506" s="26" t="s">
        <v>2</v>
      </c>
      <c r="B506" s="26" t="s">
        <v>3</v>
      </c>
      <c r="C506" s="26" t="s">
        <v>4</v>
      </c>
      <c r="D506" s="26" t="s">
        <v>5</v>
      </c>
    </row>
    <row r="507" spans="1:4" ht="12.75">
      <c r="A507" s="7" t="s">
        <v>2668</v>
      </c>
      <c r="B507" s="8">
        <v>338</v>
      </c>
      <c r="C507" s="9" t="str">
        <f>HYPERLINK("https://en.wikipedia.org/wiki/Carrion_Crawler/The_Dream","Carrion Crawler / The Dream")</f>
        <v>Carrion Crawler / The Dream</v>
      </c>
      <c r="D507" s="7">
        <v>2011</v>
      </c>
    </row>
    <row r="508" spans="1:4" ht="12.75">
      <c r="A508" s="27" t="s">
        <v>2669</v>
      </c>
      <c r="B508" s="28">
        <v>234</v>
      </c>
      <c r="C508" s="29" t="str">
        <f>HYPERLINK("https://en.wikipedia.org/wiki/Floating_Coffin","Floating Coffin")</f>
        <v>Floating Coffin</v>
      </c>
      <c r="D508" s="27">
        <v>2013</v>
      </c>
    </row>
    <row r="509" spans="1:4" ht="12.75">
      <c r="A509" s="7" t="s">
        <v>2670</v>
      </c>
      <c r="B509" s="8">
        <v>193</v>
      </c>
      <c r="C509" s="9" t="str">
        <f>HYPERLINK("https://en.wikipedia.org/wiki/Mutilator_Defeated_at_Last","Mutilator Defeated at Last")</f>
        <v>Mutilator Defeated at Last</v>
      </c>
      <c r="D509" s="7">
        <v>2015</v>
      </c>
    </row>
    <row r="510" spans="1:4" ht="12.75">
      <c r="A510" s="27" t="s">
        <v>2671</v>
      </c>
      <c r="B510" s="28">
        <v>184</v>
      </c>
      <c r="C510" s="29" t="str">
        <f>HYPERLINK("https://en.wikipedia.org/wiki/A_Weird_Exits","A Weird Exits")</f>
        <v>A Weird Exits</v>
      </c>
      <c r="D510" s="27">
        <v>2016</v>
      </c>
    </row>
    <row r="511" spans="1:4" ht="12.75">
      <c r="A511" s="7" t="s">
        <v>3990</v>
      </c>
      <c r="B511" s="8">
        <v>182</v>
      </c>
      <c r="C511" s="9" t="str">
        <f>HYPERLINK("https://en.wikipedia.org/wiki/Floating_Coffin","Floating Coffin")</f>
        <v>Floating Coffin</v>
      </c>
      <c r="D511" s="7">
        <v>2013</v>
      </c>
    </row>
    <row r="512" spans="1:4" ht="12.75">
      <c r="A512" s="27" t="s">
        <v>2672</v>
      </c>
      <c r="B512" s="28">
        <v>152</v>
      </c>
      <c r="C512" s="29" t="str">
        <f>HYPERLINK("https://en.wikipedia.org/wiki/Carrion_Crawler/The_Dream","Carrion Crawler / The Dream")</f>
        <v>Carrion Crawler / The Dream</v>
      </c>
      <c r="D512" s="27">
        <v>2011</v>
      </c>
    </row>
    <row r="513" spans="1:4" ht="12.75">
      <c r="A513" s="7" t="s">
        <v>2673</v>
      </c>
      <c r="B513" s="8">
        <v>152</v>
      </c>
      <c r="C513" s="9" t="str">
        <f t="shared" ref="C513:C514" si="47">HYPERLINK("https://en.wikipedia.org/wiki/Orc_(album)","Orc")</f>
        <v>Orc</v>
      </c>
      <c r="D513" s="7">
        <v>2017</v>
      </c>
    </row>
    <row r="514" spans="1:4" ht="12.75">
      <c r="A514" s="27" t="s">
        <v>2674</v>
      </c>
      <c r="B514" s="28">
        <v>138</v>
      </c>
      <c r="C514" s="29" t="str">
        <f t="shared" si="47"/>
        <v>Orc</v>
      </c>
      <c r="D514" s="27">
        <v>2017</v>
      </c>
    </row>
    <row r="515" spans="1:4" ht="12.75">
      <c r="A515" s="7" t="s">
        <v>2675</v>
      </c>
      <c r="B515" s="8">
        <v>136</v>
      </c>
      <c r="C515" s="9" t="str">
        <f>HYPERLINK("https://en.wikipedia.org/wiki/Mutilator_Defeated_at_Last","Mutilator Defeated at Last")</f>
        <v>Mutilator Defeated at Last</v>
      </c>
      <c r="D515" s="7">
        <v>2015</v>
      </c>
    </row>
    <row r="516" spans="1:4" ht="12.75">
      <c r="A516" s="27" t="s">
        <v>2676</v>
      </c>
      <c r="B516" s="28">
        <v>135</v>
      </c>
      <c r="C516" s="29" t="str">
        <f>HYPERLINK("https://en.wikipedia.org/wiki/Smote_Reverser","Smote Destroyer")</f>
        <v>Smote Destroyer</v>
      </c>
      <c r="D516" s="27">
        <v>2018</v>
      </c>
    </row>
    <row r="517" spans="1:4" ht="12.75">
      <c r="A517" s="152"/>
      <c r="B517" s="153"/>
      <c r="C517" s="153"/>
      <c r="D517" s="154"/>
    </row>
    <row r="518" spans="1:4" ht="18">
      <c r="A518" s="22" t="s">
        <v>2677</v>
      </c>
      <c r="B518" s="43">
        <v>44117</v>
      </c>
      <c r="C518" s="24"/>
      <c r="D518" s="32" t="s">
        <v>1</v>
      </c>
    </row>
    <row r="519" spans="1:4" ht="12.75">
      <c r="A519" s="26" t="s">
        <v>2</v>
      </c>
      <c r="B519" s="26" t="s">
        <v>3</v>
      </c>
      <c r="C519" s="26" t="s">
        <v>4</v>
      </c>
      <c r="D519" s="26" t="s">
        <v>5</v>
      </c>
    </row>
    <row r="520" spans="1:4" ht="12.75">
      <c r="A520" s="7" t="s">
        <v>2678</v>
      </c>
      <c r="B520" s="8">
        <v>117</v>
      </c>
      <c r="C520" s="9" t="s">
        <v>2679</v>
      </c>
      <c r="D520" s="7">
        <v>2005</v>
      </c>
    </row>
    <row r="521" spans="1:4" ht="12.75">
      <c r="A521" s="27" t="s">
        <v>2680</v>
      </c>
      <c r="B521" s="28">
        <v>88</v>
      </c>
      <c r="C521" s="29" t="s">
        <v>2681</v>
      </c>
      <c r="D521" s="27">
        <v>2008</v>
      </c>
    </row>
    <row r="522" spans="1:4" ht="12.75">
      <c r="A522" s="7" t="s">
        <v>2682</v>
      </c>
      <c r="B522" s="8">
        <v>87</v>
      </c>
      <c r="C522" s="9" t="s">
        <v>2679</v>
      </c>
      <c r="D522" s="7">
        <v>2005</v>
      </c>
    </row>
    <row r="523" spans="1:4" ht="12.75">
      <c r="A523" s="27" t="s">
        <v>2683</v>
      </c>
      <c r="B523" s="28">
        <v>85</v>
      </c>
      <c r="C523" s="29" t="s">
        <v>2679</v>
      </c>
      <c r="D523" s="27">
        <v>2005</v>
      </c>
    </row>
    <row r="524" spans="1:4" ht="12.75">
      <c r="A524" s="7" t="s">
        <v>2684</v>
      </c>
      <c r="B524" s="8">
        <v>75</v>
      </c>
      <c r="C524" s="9" t="s">
        <v>2679</v>
      </c>
      <c r="D524" s="7">
        <v>2005</v>
      </c>
    </row>
    <row r="525" spans="1:4" ht="12.75">
      <c r="A525" s="27" t="s">
        <v>2685</v>
      </c>
      <c r="B525" s="28">
        <v>71</v>
      </c>
      <c r="C525" s="29" t="s">
        <v>2686</v>
      </c>
      <c r="D525" s="27">
        <v>2007</v>
      </c>
    </row>
    <row r="526" spans="1:4" ht="12.75">
      <c r="A526" s="7" t="s">
        <v>2687</v>
      </c>
      <c r="B526" s="8">
        <v>70</v>
      </c>
      <c r="C526" s="9" t="s">
        <v>2688</v>
      </c>
      <c r="D526" s="7">
        <v>2002</v>
      </c>
    </row>
    <row r="527" spans="1:4" ht="12.75">
      <c r="A527" s="27" t="s">
        <v>2689</v>
      </c>
      <c r="B527" s="28">
        <v>70</v>
      </c>
      <c r="C527" s="29" t="s">
        <v>2690</v>
      </c>
      <c r="D527" s="27">
        <v>2005</v>
      </c>
    </row>
    <row r="528" spans="1:4" ht="12.75">
      <c r="A528" s="7" t="s">
        <v>2691</v>
      </c>
      <c r="B528" s="8">
        <v>64</v>
      </c>
      <c r="C528" s="9" t="s">
        <v>2686</v>
      </c>
      <c r="D528" s="7">
        <v>2007</v>
      </c>
    </row>
    <row r="529" spans="1:4" ht="12.75">
      <c r="A529" s="27" t="s">
        <v>2692</v>
      </c>
      <c r="B529" s="28">
        <v>62</v>
      </c>
      <c r="C529" s="29" t="s">
        <v>2690</v>
      </c>
      <c r="D529" s="27">
        <v>2005</v>
      </c>
    </row>
    <row r="530" spans="1:4" ht="12.75">
      <c r="A530" s="152"/>
      <c r="B530" s="153"/>
      <c r="C530" s="153"/>
      <c r="D530" s="154"/>
    </row>
    <row r="531" spans="1:4" ht="18">
      <c r="A531" s="22" t="str">
        <f>HYPERLINK("https://www.reddit.com/r/indieheads/comments/8tzpxe/top_ten_tuesday_the_olivia_tremor_control/","The Olivia Tremor Control")</f>
        <v>The Olivia Tremor Control</v>
      </c>
      <c r="B531" s="30">
        <v>43277</v>
      </c>
      <c r="C531" s="24"/>
      <c r="D531" s="24"/>
    </row>
    <row r="532" spans="1:4" ht="12.75">
      <c r="A532" s="26" t="s">
        <v>2</v>
      </c>
      <c r="B532" s="26" t="s">
        <v>3</v>
      </c>
      <c r="C532" s="26" t="s">
        <v>4</v>
      </c>
      <c r="D532" s="26" t="s">
        <v>5</v>
      </c>
    </row>
    <row r="533" spans="1:4" ht="12.75">
      <c r="A533" s="7" t="s">
        <v>2693</v>
      </c>
      <c r="B533" s="8">
        <v>99</v>
      </c>
      <c r="C533" s="9" t="str">
        <f>HYPERLINK("https://en.wikipedia.org/wiki/Music_from_the_Unrealized_Film_Script:_Dusk_at_Cubist_Castle","Music from the Unrealized Film Script: Dusk at Cubist Castle")</f>
        <v>Music from the Unrealized Film Script: Dusk at Cubist Castle</v>
      </c>
      <c r="D533" s="7">
        <v>1996</v>
      </c>
    </row>
    <row r="534" spans="1:4" ht="12.75">
      <c r="A534" s="27" t="s">
        <v>2694</v>
      </c>
      <c r="B534" s="28">
        <v>93</v>
      </c>
      <c r="C534" s="29" t="str">
        <f t="shared" ref="C534:C535" si="48">HYPERLINK("https://en.wikipedia.org/wiki/Black_Foliage:_Animation_Music_Volume_One","Black Foliage: Animation Music Volume One")</f>
        <v>Black Foliage: Animation Music Volume One</v>
      </c>
      <c r="D534" s="27">
        <v>1999</v>
      </c>
    </row>
    <row r="535" spans="1:4" ht="12.75">
      <c r="A535" s="7" t="s">
        <v>2695</v>
      </c>
      <c r="B535" s="8">
        <v>88</v>
      </c>
      <c r="C535" s="9" t="str">
        <f t="shared" si="48"/>
        <v>Black Foliage: Animation Music Volume One</v>
      </c>
      <c r="D535" s="7">
        <v>1999</v>
      </c>
    </row>
    <row r="536" spans="1:4" ht="12.75">
      <c r="A536" s="27" t="s">
        <v>2696</v>
      </c>
      <c r="B536" s="28">
        <v>82</v>
      </c>
      <c r="C536" s="29" t="str">
        <f t="shared" ref="C536:C538" si="49">HYPERLINK("https://en.wikipedia.org/wiki/Music_from_the_Unrealized_Film_Script:_Dusk_at_Cubist_Castle","Music from the Unrealized Film Script: Dusk at Cubist Castle")</f>
        <v>Music from the Unrealized Film Script: Dusk at Cubist Castle</v>
      </c>
      <c r="D536" s="27">
        <v>1996</v>
      </c>
    </row>
    <row r="537" spans="1:4" ht="12.75">
      <c r="A537" s="7" t="s">
        <v>2697</v>
      </c>
      <c r="B537" s="8">
        <v>57</v>
      </c>
      <c r="C537" s="9" t="str">
        <f t="shared" si="49"/>
        <v>Music from the Unrealized Film Script: Dusk at Cubist Castle</v>
      </c>
      <c r="D537" s="7">
        <v>1996</v>
      </c>
    </row>
    <row r="538" spans="1:4" ht="12.75">
      <c r="A538" s="27" t="s">
        <v>2698</v>
      </c>
      <c r="B538" s="28">
        <v>57</v>
      </c>
      <c r="C538" s="29" t="str">
        <f t="shared" si="49"/>
        <v>Music from the Unrealized Film Script: Dusk at Cubist Castle</v>
      </c>
      <c r="D538" s="27">
        <v>1996</v>
      </c>
    </row>
    <row r="539" spans="1:4" ht="12.75">
      <c r="A539" s="7" t="s">
        <v>2699</v>
      </c>
      <c r="B539" s="8">
        <v>56</v>
      </c>
      <c r="C539" s="9" t="str">
        <f>HYPERLINK("https://en.wikipedia.org/wiki/Music_from_the_Unrealized_Film_Script:_Dusk_at_Cubist_Castle","Music from the Unrealized Film Script: Dusk at Cubist Caslte")</f>
        <v>Music from the Unrealized Film Script: Dusk at Cubist Caslte</v>
      </c>
      <c r="D539" s="7">
        <v>1996</v>
      </c>
    </row>
    <row r="540" spans="1:4" ht="12.75">
      <c r="A540" s="27" t="s">
        <v>2700</v>
      </c>
      <c r="B540" s="28">
        <v>50</v>
      </c>
      <c r="C540" s="29" t="str">
        <f t="shared" ref="C540:C541" si="50">HYPERLINK("https://en.wikipedia.org/wiki/Black_Foliage:_Animation_Music_Volume_One","Black Foliage: Animation Music Volume One")</f>
        <v>Black Foliage: Animation Music Volume One</v>
      </c>
      <c r="D540" s="27">
        <v>1999</v>
      </c>
    </row>
    <row r="541" spans="1:4" ht="12.75">
      <c r="A541" s="133" t="s">
        <v>3979</v>
      </c>
      <c r="B541" s="8">
        <v>40</v>
      </c>
      <c r="C541" s="9" t="str">
        <f t="shared" si="50"/>
        <v>Black Foliage: Animation Music Volume One</v>
      </c>
      <c r="D541" s="7">
        <v>1999</v>
      </c>
    </row>
    <row r="542" spans="1:4" ht="12.75">
      <c r="A542" s="27" t="s">
        <v>2701</v>
      </c>
      <c r="B542" s="28">
        <v>39</v>
      </c>
      <c r="C542" s="29" t="str">
        <f>HYPERLINK("https://en.wikipedia.org/wiki/Music_from_the_Unrealized_Film_Script:_Dusk_at_Cubist_Castle","Music from the Unrealized Film Script: Dusk at Cubist Castle")</f>
        <v>Music from the Unrealized Film Script: Dusk at Cubist Castle</v>
      </c>
      <c r="D542" s="27">
        <v>1996</v>
      </c>
    </row>
    <row r="543" spans="1:4" ht="12.75">
      <c r="A543" s="152"/>
      <c r="B543" s="153"/>
      <c r="C543" s="153"/>
      <c r="D543" s="154"/>
    </row>
    <row r="544" spans="1:4" ht="18">
      <c r="A544" s="22" t="s">
        <v>2702</v>
      </c>
      <c r="B544" s="30">
        <v>44292</v>
      </c>
      <c r="C544" s="24"/>
      <c r="D544" s="24"/>
    </row>
    <row r="545" spans="1:4" ht="12.75">
      <c r="A545" s="26" t="s">
        <v>2</v>
      </c>
      <c r="B545" s="26" t="s">
        <v>3</v>
      </c>
      <c r="C545" s="26" t="s">
        <v>4</v>
      </c>
      <c r="D545" s="26" t="s">
        <v>5</v>
      </c>
    </row>
    <row r="546" spans="1:4" ht="12.75">
      <c r="A546" s="7" t="s">
        <v>2703</v>
      </c>
      <c r="B546" s="8">
        <v>175</v>
      </c>
      <c r="C546" s="9" t="s">
        <v>2704</v>
      </c>
      <c r="D546" s="7">
        <v>2013</v>
      </c>
    </row>
    <row r="547" spans="1:4" ht="12.75">
      <c r="A547" s="27" t="s">
        <v>2705</v>
      </c>
      <c r="B547" s="28">
        <v>109</v>
      </c>
      <c r="C547" s="29" t="s">
        <v>2706</v>
      </c>
      <c r="D547" s="27">
        <v>2011</v>
      </c>
    </row>
    <row r="548" spans="1:4" ht="12.75">
      <c r="A548" s="7" t="s">
        <v>2706</v>
      </c>
      <c r="B548" s="8">
        <v>101</v>
      </c>
      <c r="C548" s="9" t="s">
        <v>2706</v>
      </c>
      <c r="D548" s="7">
        <v>2011</v>
      </c>
    </row>
    <row r="549" spans="1:4" ht="12.75">
      <c r="A549" s="27" t="s">
        <v>2707</v>
      </c>
      <c r="B549" s="28">
        <v>79</v>
      </c>
      <c r="C549" s="29" t="s">
        <v>2704</v>
      </c>
      <c r="D549" s="27">
        <v>2013</v>
      </c>
    </row>
    <row r="550" spans="1:4" ht="12.75">
      <c r="A550" s="7" t="s">
        <v>2708</v>
      </c>
      <c r="B550" s="8">
        <v>74</v>
      </c>
      <c r="C550" s="9" t="s">
        <v>2706</v>
      </c>
      <c r="D550" s="7">
        <v>2011</v>
      </c>
    </row>
    <row r="551" spans="1:4" ht="12.75">
      <c r="A551" s="27" t="s">
        <v>2709</v>
      </c>
      <c r="B551" s="28">
        <v>62</v>
      </c>
      <c r="C551" s="29" t="s">
        <v>2710</v>
      </c>
      <c r="D551" s="27">
        <v>2015</v>
      </c>
    </row>
    <row r="552" spans="1:4" ht="12.75">
      <c r="A552" s="7" t="s">
        <v>2711</v>
      </c>
      <c r="B552" s="8">
        <v>57</v>
      </c>
      <c r="C552" s="9" t="s">
        <v>2704</v>
      </c>
      <c r="D552" s="7">
        <v>2013</v>
      </c>
    </row>
    <row r="553" spans="1:4" ht="12.75">
      <c r="A553" s="27" t="s">
        <v>2712</v>
      </c>
      <c r="B553" s="28">
        <v>56</v>
      </c>
      <c r="C553" s="29" t="s">
        <v>2713</v>
      </c>
      <c r="D553" s="27">
        <v>2020</v>
      </c>
    </row>
    <row r="554" spans="1:4" ht="12.75">
      <c r="A554" s="7" t="s">
        <v>2714</v>
      </c>
      <c r="B554" s="8">
        <v>47</v>
      </c>
      <c r="C554" s="7" t="s">
        <v>2715</v>
      </c>
      <c r="D554" s="7">
        <v>2018</v>
      </c>
    </row>
    <row r="555" spans="1:4" ht="12.75">
      <c r="A555" s="27" t="s">
        <v>2716</v>
      </c>
      <c r="B555" s="28">
        <v>45</v>
      </c>
      <c r="C555" s="29" t="s">
        <v>2713</v>
      </c>
      <c r="D555" s="27">
        <v>2020</v>
      </c>
    </row>
    <row r="556" spans="1:4" ht="12.75">
      <c r="A556" s="152"/>
      <c r="B556" s="153"/>
      <c r="C556" s="153"/>
      <c r="D556" s="154"/>
    </row>
    <row r="557" spans="1:4" ht="18">
      <c r="A557" s="22" t="str">
        <f>HYPERLINK("https://www.reddit.com/r/indieheads/comments/dv8u8a/top_ten_tuesday_ought/","Ought")</f>
        <v>Ought</v>
      </c>
      <c r="B557" s="43">
        <v>43781</v>
      </c>
      <c r="C557" s="24"/>
      <c r="D557" s="32" t="s">
        <v>1</v>
      </c>
    </row>
    <row r="558" spans="1:4" ht="12.75">
      <c r="A558" s="26" t="s">
        <v>2</v>
      </c>
      <c r="B558" s="26" t="s">
        <v>3</v>
      </c>
      <c r="C558" s="26" t="s">
        <v>4</v>
      </c>
      <c r="D558" s="26" t="s">
        <v>5</v>
      </c>
    </row>
    <row r="559" spans="1:4" ht="12.75">
      <c r="A559" s="7" t="s">
        <v>2717</v>
      </c>
      <c r="B559" s="8">
        <v>351</v>
      </c>
      <c r="C559" s="9" t="str">
        <f>HYPERLINK("https://rateyourmusic.com/release/album/ought/sun_coming_down/","Sun Coming Down")</f>
        <v>Sun Coming Down</v>
      </c>
      <c r="D559" s="7">
        <v>2015</v>
      </c>
    </row>
    <row r="560" spans="1:4" ht="12.75">
      <c r="A560" s="27" t="s">
        <v>2718</v>
      </c>
      <c r="B560" s="28">
        <v>276</v>
      </c>
      <c r="C560" s="29" t="str">
        <f t="shared" ref="C560:C561" si="51">HYPERLINK("https://rateyourmusic.com/release/album/ought/more_than_any_other_day/","More Than Any Other Day")</f>
        <v>More Than Any Other Day</v>
      </c>
      <c r="D560" s="27">
        <v>2014</v>
      </c>
    </row>
    <row r="561" spans="1:4" ht="12.75">
      <c r="A561" s="7" t="s">
        <v>2719</v>
      </c>
      <c r="B561" s="8">
        <v>262</v>
      </c>
      <c r="C561" s="9" t="str">
        <f t="shared" si="51"/>
        <v>More Than Any Other Day</v>
      </c>
      <c r="D561" s="7">
        <v>2014</v>
      </c>
    </row>
    <row r="562" spans="1:4" ht="12.75">
      <c r="A562" s="27" t="s">
        <v>2720</v>
      </c>
      <c r="B562" s="28">
        <v>249</v>
      </c>
      <c r="C562" s="29" t="str">
        <f>HYPERLINK("https://rateyourmusic.com/release/album/ought/room-inside-the-world/","Room Inside the World")</f>
        <v>Room Inside the World</v>
      </c>
      <c r="D562" s="27">
        <v>2018</v>
      </c>
    </row>
    <row r="563" spans="1:4" ht="12.75">
      <c r="A563" s="7" t="s">
        <v>2721</v>
      </c>
      <c r="B563" s="8">
        <v>163</v>
      </c>
      <c r="C563" s="9" t="str">
        <f>HYPERLINK("https://rateyourmusic.com/release/album/ought/sun_coming_down/","Sun Coming Down")</f>
        <v>Sun Coming Down</v>
      </c>
      <c r="D563" s="7">
        <v>2015</v>
      </c>
    </row>
    <row r="564" spans="1:4" ht="12.75">
      <c r="A564" s="27" t="s">
        <v>2722</v>
      </c>
      <c r="B564" s="28">
        <v>143</v>
      </c>
      <c r="C564" s="29" t="str">
        <f>HYPERLINK("https://rateyourmusic.com/release/album/ought/more_than_any_other_day/","More Than Any Other Day")</f>
        <v>More Than Any Other Day</v>
      </c>
      <c r="D564" s="27">
        <v>2014</v>
      </c>
    </row>
    <row r="565" spans="1:4" ht="12.75">
      <c r="A565" s="7" t="s">
        <v>2723</v>
      </c>
      <c r="B565" s="8">
        <v>108</v>
      </c>
      <c r="C565" s="9" t="str">
        <f>HYPERLINK("https://rateyourmusic.com/release/album/ought/room-inside-the-world/","Room Inside the World")</f>
        <v>Room Inside the World</v>
      </c>
      <c r="D565" s="7">
        <v>2018</v>
      </c>
    </row>
    <row r="566" spans="1:4" ht="12.75">
      <c r="A566" s="27" t="s">
        <v>2724</v>
      </c>
      <c r="B566" s="28">
        <v>91</v>
      </c>
      <c r="C566" s="29" t="str">
        <f>HYPERLINK("https://rateyourmusic.com/release/album/ought/sun_coming_down/","Sun Coming Down")</f>
        <v>Sun Coming Down</v>
      </c>
      <c r="D566" s="27">
        <v>2015</v>
      </c>
    </row>
    <row r="567" spans="1:4" ht="12.75">
      <c r="A567" s="7" t="s">
        <v>2725</v>
      </c>
      <c r="B567" s="8">
        <v>82</v>
      </c>
      <c r="C567" s="9" t="str">
        <f t="shared" ref="C567:C568" si="52">HYPERLINK("https://rateyourmusic.com/release/album/ought/more_than_any_other_day/","More Than Any Other Day")</f>
        <v>More Than Any Other Day</v>
      </c>
      <c r="D567" s="7">
        <v>2014</v>
      </c>
    </row>
    <row r="568" spans="1:4" ht="12.75">
      <c r="A568" s="27" t="s">
        <v>2726</v>
      </c>
      <c r="B568" s="28">
        <v>80</v>
      </c>
      <c r="C568" s="29" t="str">
        <f t="shared" si="52"/>
        <v>More Than Any Other Day</v>
      </c>
      <c r="D568" s="27">
        <v>2014</v>
      </c>
    </row>
    <row r="569" spans="1:4" ht="12.75">
      <c r="A569" s="152"/>
      <c r="B569" s="153"/>
      <c r="C569" s="153"/>
      <c r="D569" s="154"/>
    </row>
  </sheetData>
  <mergeCells count="43">
    <mergeCell ref="A569:D569"/>
    <mergeCell ref="A465:D465"/>
    <mergeCell ref="A478:D478"/>
    <mergeCell ref="A491:D491"/>
    <mergeCell ref="A504:D504"/>
    <mergeCell ref="A517:D517"/>
    <mergeCell ref="A530:D530"/>
    <mergeCell ref="A543:D543"/>
    <mergeCell ref="A410:D410"/>
    <mergeCell ref="A423:D423"/>
    <mergeCell ref="A436:D436"/>
    <mergeCell ref="A452:D452"/>
    <mergeCell ref="A556:D556"/>
    <mergeCell ref="A345:D345"/>
    <mergeCell ref="A358:D358"/>
    <mergeCell ref="A371:D371"/>
    <mergeCell ref="A384:D384"/>
    <mergeCell ref="A397:D397"/>
    <mergeCell ref="A280:D280"/>
    <mergeCell ref="A293:D293"/>
    <mergeCell ref="A306:D306"/>
    <mergeCell ref="A319:D319"/>
    <mergeCell ref="A332:D332"/>
    <mergeCell ref="A215:D215"/>
    <mergeCell ref="A228:D228"/>
    <mergeCell ref="A241:D241"/>
    <mergeCell ref="A254:D254"/>
    <mergeCell ref="A267:D267"/>
    <mergeCell ref="A131:D131"/>
    <mergeCell ref="A144:D144"/>
    <mergeCell ref="A160:D160"/>
    <mergeCell ref="A173:D173"/>
    <mergeCell ref="A186:D186"/>
    <mergeCell ref="A66:D66"/>
    <mergeCell ref="A79:D79"/>
    <mergeCell ref="A92:D92"/>
    <mergeCell ref="A105:D105"/>
    <mergeCell ref="A118:D118"/>
    <mergeCell ref="A1:D1"/>
    <mergeCell ref="A14:D14"/>
    <mergeCell ref="A27:D27"/>
    <mergeCell ref="A40:D40"/>
    <mergeCell ref="A53:D53"/>
  </mergeCells>
  <hyperlinks>
    <hyperlink ref="D41" r:id="rId1" xr:uid="{00000000-0004-0000-0300-000000000000}"/>
    <hyperlink ref="A54" r:id="rId2" xr:uid="{00000000-0004-0000-0300-000001000000}"/>
    <hyperlink ref="D54" r:id="rId3" xr:uid="{00000000-0004-0000-0300-000002000000}"/>
    <hyperlink ref="C56" r:id="rId4" xr:uid="{00000000-0004-0000-0300-000003000000}"/>
    <hyperlink ref="C57" r:id="rId5" xr:uid="{00000000-0004-0000-0300-000004000000}"/>
    <hyperlink ref="C58" r:id="rId6" xr:uid="{00000000-0004-0000-0300-000005000000}"/>
    <hyperlink ref="C59" r:id="rId7" xr:uid="{00000000-0004-0000-0300-000006000000}"/>
    <hyperlink ref="C60" r:id="rId8" xr:uid="{00000000-0004-0000-0300-000007000000}"/>
    <hyperlink ref="C61" r:id="rId9" xr:uid="{00000000-0004-0000-0300-000008000000}"/>
    <hyperlink ref="C62" r:id="rId10" xr:uid="{00000000-0004-0000-0300-000009000000}"/>
    <hyperlink ref="C63" r:id="rId11" xr:uid="{00000000-0004-0000-0300-00000A000000}"/>
    <hyperlink ref="C64" r:id="rId12" xr:uid="{00000000-0004-0000-0300-00000B000000}"/>
    <hyperlink ref="C65" r:id="rId13" xr:uid="{00000000-0004-0000-0300-00000C000000}"/>
    <hyperlink ref="D80" r:id="rId14" xr:uid="{00000000-0004-0000-0300-00000D000000}"/>
    <hyperlink ref="D93" r:id="rId15" xr:uid="{00000000-0004-0000-0300-00000E000000}"/>
    <hyperlink ref="A106" r:id="rId16" xr:uid="{00000000-0004-0000-0300-00000F000000}"/>
    <hyperlink ref="A119" r:id="rId17" xr:uid="{00000000-0004-0000-0300-000010000000}"/>
    <hyperlink ref="D119" r:id="rId18" xr:uid="{00000000-0004-0000-0300-000011000000}"/>
    <hyperlink ref="C121" r:id="rId19" xr:uid="{00000000-0004-0000-0300-000012000000}"/>
    <hyperlink ref="C122" r:id="rId20" xr:uid="{00000000-0004-0000-0300-000013000000}"/>
    <hyperlink ref="C123" r:id="rId21" xr:uid="{00000000-0004-0000-0300-000014000000}"/>
    <hyperlink ref="C124" r:id="rId22" xr:uid="{00000000-0004-0000-0300-000015000000}"/>
    <hyperlink ref="C125" r:id="rId23" xr:uid="{00000000-0004-0000-0300-000016000000}"/>
    <hyperlink ref="C126" r:id="rId24" xr:uid="{00000000-0004-0000-0300-000017000000}"/>
    <hyperlink ref="C127" r:id="rId25" xr:uid="{00000000-0004-0000-0300-000018000000}"/>
    <hyperlink ref="C128" r:id="rId26" xr:uid="{00000000-0004-0000-0300-000019000000}"/>
    <hyperlink ref="C129" r:id="rId27" xr:uid="{00000000-0004-0000-0300-00001A000000}"/>
    <hyperlink ref="C130" r:id="rId28" xr:uid="{00000000-0004-0000-0300-00001B000000}"/>
    <hyperlink ref="A145" r:id="rId29" xr:uid="{00000000-0004-0000-0300-00001C000000}"/>
    <hyperlink ref="D145" r:id="rId30" xr:uid="{00000000-0004-0000-0300-00001D000000}"/>
    <hyperlink ref="C147" r:id="rId31" xr:uid="{00000000-0004-0000-0300-00001E000000}"/>
    <hyperlink ref="C148" r:id="rId32" xr:uid="{00000000-0004-0000-0300-000021000000}"/>
    <hyperlink ref="C149" r:id="rId33" xr:uid="{00000000-0004-0000-0300-000023000000}"/>
    <hyperlink ref="C150" r:id="rId34" xr:uid="{00000000-0004-0000-0300-000024000000}"/>
    <hyperlink ref="A161" r:id="rId35" xr:uid="{00000000-0004-0000-0300-000028000000}"/>
    <hyperlink ref="A174" r:id="rId36" xr:uid="{00000000-0004-0000-0300-000029000000}"/>
    <hyperlink ref="D174" r:id="rId37" xr:uid="{00000000-0004-0000-0300-00002A000000}"/>
    <hyperlink ref="C176" r:id="rId38" xr:uid="{00000000-0004-0000-0300-00002B000000}"/>
    <hyperlink ref="C177" r:id="rId39" xr:uid="{00000000-0004-0000-0300-00002C000000}"/>
    <hyperlink ref="C178" r:id="rId40" xr:uid="{00000000-0004-0000-0300-00002D000000}"/>
    <hyperlink ref="C179" r:id="rId41" xr:uid="{00000000-0004-0000-0300-00002E000000}"/>
    <hyperlink ref="C180" r:id="rId42" xr:uid="{00000000-0004-0000-0300-00002F000000}"/>
    <hyperlink ref="C181" r:id="rId43" xr:uid="{00000000-0004-0000-0300-000030000000}"/>
    <hyperlink ref="C182" r:id="rId44" xr:uid="{00000000-0004-0000-0300-000031000000}"/>
    <hyperlink ref="C183" r:id="rId45" xr:uid="{00000000-0004-0000-0300-000032000000}"/>
    <hyperlink ref="C184" r:id="rId46" xr:uid="{00000000-0004-0000-0300-000033000000}"/>
    <hyperlink ref="C185" r:id="rId47" xr:uid="{00000000-0004-0000-0300-000034000000}"/>
    <hyperlink ref="D187" r:id="rId48" xr:uid="{00000000-0004-0000-0300-000035000000}"/>
    <hyperlink ref="C213" r:id="rId49" xr:uid="{00000000-0004-0000-0300-000040000000}"/>
    <hyperlink ref="C214" r:id="rId50" xr:uid="{00000000-0004-0000-0300-000041000000}"/>
    <hyperlink ref="D216" r:id="rId51" xr:uid="{00000000-0004-0000-0300-000042000000}"/>
    <hyperlink ref="A229" r:id="rId52" xr:uid="{00000000-0004-0000-0300-000043000000}"/>
    <hyperlink ref="D320" r:id="rId53" xr:uid="{00000000-0004-0000-0300-000044000000}"/>
    <hyperlink ref="A333" r:id="rId54" xr:uid="{00000000-0004-0000-0300-000045000000}"/>
    <hyperlink ref="D333" r:id="rId55" xr:uid="{00000000-0004-0000-0300-000046000000}"/>
    <hyperlink ref="C335" r:id="rId56" xr:uid="{00000000-0004-0000-0300-000047000000}"/>
    <hyperlink ref="C336" r:id="rId57" xr:uid="{00000000-0004-0000-0300-000048000000}"/>
    <hyperlink ref="C337" r:id="rId58" xr:uid="{00000000-0004-0000-0300-000049000000}"/>
    <hyperlink ref="C338" r:id="rId59" xr:uid="{00000000-0004-0000-0300-00004A000000}"/>
    <hyperlink ref="C339" r:id="rId60" xr:uid="{00000000-0004-0000-0300-00004B000000}"/>
    <hyperlink ref="C340" r:id="rId61" xr:uid="{00000000-0004-0000-0300-00004C000000}"/>
    <hyperlink ref="C341" r:id="rId62" xr:uid="{00000000-0004-0000-0300-00004D000000}"/>
    <hyperlink ref="C342" r:id="rId63" xr:uid="{00000000-0004-0000-0300-00004E000000}"/>
    <hyperlink ref="C343" r:id="rId64" xr:uid="{00000000-0004-0000-0300-00004F000000}"/>
    <hyperlink ref="C344" r:id="rId65" xr:uid="{00000000-0004-0000-0300-000050000000}"/>
    <hyperlink ref="A359" r:id="rId66" xr:uid="{00000000-0004-0000-0300-000051000000}"/>
    <hyperlink ref="D359" r:id="rId67" xr:uid="{00000000-0004-0000-0300-000052000000}"/>
    <hyperlink ref="C361" r:id="rId68" xr:uid="{00000000-0004-0000-0300-000053000000}"/>
    <hyperlink ref="C362" r:id="rId69" xr:uid="{00000000-0004-0000-0300-000054000000}"/>
    <hyperlink ref="C363" r:id="rId70" xr:uid="{00000000-0004-0000-0300-000055000000}"/>
    <hyperlink ref="C364" r:id="rId71" xr:uid="{00000000-0004-0000-0300-000056000000}"/>
    <hyperlink ref="C365" r:id="rId72" xr:uid="{00000000-0004-0000-0300-000057000000}"/>
    <hyperlink ref="C366" r:id="rId73" xr:uid="{00000000-0004-0000-0300-000058000000}"/>
    <hyperlink ref="C367" r:id="rId74" xr:uid="{00000000-0004-0000-0300-000059000000}"/>
    <hyperlink ref="C368" r:id="rId75" xr:uid="{00000000-0004-0000-0300-00005A000000}"/>
    <hyperlink ref="C369" r:id="rId76" xr:uid="{00000000-0004-0000-0300-00005B000000}"/>
    <hyperlink ref="C370" r:id="rId77" xr:uid="{00000000-0004-0000-0300-00005C000000}"/>
    <hyperlink ref="D372" r:id="rId78" xr:uid="{00000000-0004-0000-0300-00005D000000}"/>
    <hyperlink ref="A385" r:id="rId79" xr:uid="{00000000-0004-0000-0300-00005E000000}"/>
    <hyperlink ref="A411" r:id="rId80" xr:uid="{00000000-0004-0000-0300-00005F000000}"/>
    <hyperlink ref="A437" r:id="rId81" display="Nicolás Jaar / Against All Logic" xr:uid="{00000000-0004-0000-0300-000060000000}"/>
    <hyperlink ref="D437" r:id="rId82" xr:uid="{00000000-0004-0000-0300-000061000000}"/>
    <hyperlink ref="C439" r:id="rId83" xr:uid="{00000000-0004-0000-0300-000065000000}"/>
    <hyperlink ref="C441" r:id="rId84" xr:uid="{00000000-0004-0000-0300-000067000000}"/>
    <hyperlink ref="C442" r:id="rId85" xr:uid="{00000000-0004-0000-0300-000068000000}"/>
    <hyperlink ref="C443" r:id="rId86" xr:uid="{00000000-0004-0000-0300-000069000000}"/>
    <hyperlink ref="C444" r:id="rId87" xr:uid="{00000000-0004-0000-0300-00006A000000}"/>
    <hyperlink ref="D453" r:id="rId88" xr:uid="{00000000-0004-0000-0300-00006B000000}"/>
    <hyperlink ref="D505" r:id="rId89" xr:uid="{00000000-0004-0000-0300-00006C000000}"/>
    <hyperlink ref="A518" r:id="rId90" xr:uid="{00000000-0004-0000-0300-00006D000000}"/>
    <hyperlink ref="D518" r:id="rId91" xr:uid="{00000000-0004-0000-0300-00006E000000}"/>
    <hyperlink ref="C520" r:id="rId92" xr:uid="{00000000-0004-0000-0300-00006F000000}"/>
    <hyperlink ref="C521" r:id="rId93" xr:uid="{00000000-0004-0000-0300-000070000000}"/>
    <hyperlink ref="C522" r:id="rId94" xr:uid="{00000000-0004-0000-0300-000071000000}"/>
    <hyperlink ref="C523" r:id="rId95" xr:uid="{00000000-0004-0000-0300-000072000000}"/>
    <hyperlink ref="C524" r:id="rId96" xr:uid="{00000000-0004-0000-0300-000073000000}"/>
    <hyperlink ref="C525" r:id="rId97" xr:uid="{00000000-0004-0000-0300-000074000000}"/>
    <hyperlink ref="C526" r:id="rId98" xr:uid="{00000000-0004-0000-0300-000075000000}"/>
    <hyperlink ref="C527" r:id="rId99" xr:uid="{00000000-0004-0000-0300-000076000000}"/>
    <hyperlink ref="C528" r:id="rId100" xr:uid="{00000000-0004-0000-0300-000077000000}"/>
    <hyperlink ref="C529" r:id="rId101" xr:uid="{00000000-0004-0000-0300-000078000000}"/>
    <hyperlink ref="A544" r:id="rId102" xr:uid="{00000000-0004-0000-0300-000079000000}"/>
    <hyperlink ref="C546" r:id="rId103" xr:uid="{00000000-0004-0000-0300-00007A000000}"/>
    <hyperlink ref="C547" r:id="rId104" xr:uid="{00000000-0004-0000-0300-00007B000000}"/>
    <hyperlink ref="C548" r:id="rId105" xr:uid="{00000000-0004-0000-0300-00007C000000}"/>
    <hyperlink ref="C549" r:id="rId106" xr:uid="{00000000-0004-0000-0300-00007D000000}"/>
    <hyperlink ref="C550" r:id="rId107" xr:uid="{00000000-0004-0000-0300-00007E000000}"/>
    <hyperlink ref="C551" r:id="rId108" xr:uid="{00000000-0004-0000-0300-00007F000000}"/>
    <hyperlink ref="C552" r:id="rId109" xr:uid="{00000000-0004-0000-0300-000080000000}"/>
    <hyperlink ref="C553" r:id="rId110" xr:uid="{00000000-0004-0000-0300-000081000000}"/>
    <hyperlink ref="C555" r:id="rId111" xr:uid="{00000000-0004-0000-0300-000082000000}"/>
    <hyperlink ref="D557" r:id="rId112" xr:uid="{00000000-0004-0000-0300-000083000000}"/>
    <hyperlink ref="C212" r:id="rId113" xr:uid="{00000000-0004-0000-0300-00003F000000}"/>
    <hyperlink ref="C211" r:id="rId114" xr:uid="{00000000-0004-0000-0300-00003E000000}"/>
    <hyperlink ref="C210" r:id="rId115" xr:uid="{00000000-0004-0000-0300-00003D000000}"/>
    <hyperlink ref="C209" r:id="rId116" xr:uid="{00000000-0004-0000-0300-00003C000000}"/>
    <hyperlink ref="C208" r:id="rId117" xr:uid="{00000000-0004-0000-0300-00003B000000}"/>
    <hyperlink ref="C207" r:id="rId118" xr:uid="{00000000-0004-0000-0300-00003A000000}"/>
    <hyperlink ref="C206" r:id="rId119" xr:uid="{00000000-0004-0000-0300-000039000000}"/>
    <hyperlink ref="C205" r:id="rId120" xr:uid="{00000000-0004-0000-0300-000038000000}"/>
    <hyperlink ref="D203" r:id="rId121" xr:uid="{00000000-0004-0000-0300-000037000000}"/>
    <hyperlink ref="A203" r:id="rId122" xr:uid="{00000000-0004-0000-0300-000036000000}"/>
    <hyperlink ref="D199" r:id="rId123" xr:uid="{16E7B13C-1E6F-4F8C-A8C9-97BE7CE3DBEF}"/>
    <hyperlink ref="A446" r:id="rId124" display="Nicolás Jaar / Against All Logic" xr:uid="{371ECD70-8AD9-436C-BBB9-3531CD07C7F3}"/>
    <hyperlink ref="D446" r:id="rId125" xr:uid="{5032BA94-2AB2-46DD-9D19-13FE3BC31702}"/>
    <hyperlink ref="C448" r:id="rId126" xr:uid="{4F627DD2-DCC5-43E1-81C6-7BFE82CCA833}"/>
    <hyperlink ref="C449" r:id="rId127" xr:uid="{1F926BBD-7EEE-400A-8332-C0F6FB0341B7}"/>
    <hyperlink ref="C450" r:id="rId128" xr:uid="{150B93C5-648E-47DE-83EB-9D92B5BBBEF4}"/>
    <hyperlink ref="C451" r:id="rId129" xr:uid="{2ED9CA63-0ADC-4773-82C9-9250D1A19065}"/>
    <hyperlink ref="A152" r:id="rId130" display="MF DOOM" xr:uid="{9EBA74AF-6E98-45C1-8AAE-86BD741C107C}"/>
    <hyperlink ref="D152" r:id="rId131" xr:uid="{A0750F91-9E8F-4E92-9E40-974FD6728A97}"/>
    <hyperlink ref="C154" r:id="rId132" xr:uid="{31B7A1D6-EED5-4D78-A5CA-317A97E2F6E1}"/>
    <hyperlink ref="C155" r:id="rId133" xr:uid="{E3B6F00A-E1CD-4234-86AE-8F2F7EC48E20}"/>
    <hyperlink ref="C156" r:id="rId134" xr:uid="{6C7A1788-145F-4417-9F34-4AE2449FB4D3}"/>
    <hyperlink ref="C157" r:id="rId135" xr:uid="{9C48FED6-42E0-4CD7-8B1C-0FE107BB4E9F}"/>
    <hyperlink ref="C158" r:id="rId136" xr:uid="{6D3FE006-3C78-4DC5-8AC6-CC3679E9B525}"/>
    <hyperlink ref="C159" r:id="rId137" xr:uid="{39291B9C-B559-47AA-90DD-7AB9FF3A169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957"/>
  <sheetViews>
    <sheetView topLeftCell="A675" workbookViewId="0">
      <selection activeCell="H696" sqref="H696"/>
    </sheetView>
  </sheetViews>
  <sheetFormatPr defaultColWidth="12.5703125" defaultRowHeight="15.75" customHeight="1"/>
  <cols>
    <col min="1" max="1" width="54.42578125" customWidth="1"/>
    <col min="3" max="3" width="46" customWidth="1"/>
  </cols>
  <sheetData>
    <row r="1" spans="1:4" ht="12.75">
      <c r="A1" s="155"/>
      <c r="B1" s="156"/>
      <c r="C1" s="156"/>
      <c r="D1" s="156"/>
    </row>
    <row r="2" spans="1:4" ht="15.75" customHeight="1">
      <c r="A2" s="22" t="str">
        <f>HYPERLINK("https://www.reddit.com/r/indieheads/comments/3d9nus/top_ten_tuesday_panda_bear/","Panda Bear")</f>
        <v>Panda Bear</v>
      </c>
      <c r="B2" s="23">
        <v>42199</v>
      </c>
      <c r="C2" s="24"/>
      <c r="D2" s="32" t="s">
        <v>1</v>
      </c>
    </row>
    <row r="3" spans="1:4" ht="12.75">
      <c r="A3" s="26" t="s">
        <v>2</v>
      </c>
      <c r="B3" s="26" t="s">
        <v>3</v>
      </c>
      <c r="C3" s="26" t="s">
        <v>4</v>
      </c>
      <c r="D3" s="26" t="s">
        <v>5</v>
      </c>
    </row>
    <row r="4" spans="1:4" ht="12.75">
      <c r="A4" s="19" t="str">
        <f>HYPERLINK("https://www.youtube.com/watch?v=FTnBc_-QCXk","Bros")</f>
        <v>Bros</v>
      </c>
      <c r="B4" s="8">
        <v>235</v>
      </c>
      <c r="C4" s="9" t="str">
        <f t="shared" ref="C4:C7" si="0">HYPERLINK("https://en.wikipedia.org/wiki/Person_Pitch","Person Pitch")</f>
        <v>Person Pitch</v>
      </c>
      <c r="D4" s="7">
        <v>2007</v>
      </c>
    </row>
    <row r="5" spans="1:4" ht="12.75">
      <c r="A5" s="35" t="str">
        <f>HYPERLINK("https://www.youtube.com/watch?v=8-43dKcfr38","Take Pills")</f>
        <v>Take Pills</v>
      </c>
      <c r="B5" s="28">
        <v>159</v>
      </c>
      <c r="C5" s="29" t="str">
        <f t="shared" si="0"/>
        <v>Person Pitch</v>
      </c>
      <c r="D5" s="27">
        <v>2007</v>
      </c>
    </row>
    <row r="6" spans="1:4" ht="12.75">
      <c r="A6" s="19" t="str">
        <f>HYPERLINK("https://www.youtube.com/watch?v=MT3NVv7IZ8Q","Comfy in Nautica")</f>
        <v>Comfy in Nautica</v>
      </c>
      <c r="B6" s="8">
        <v>147</v>
      </c>
      <c r="C6" s="9" t="str">
        <f t="shared" si="0"/>
        <v>Person Pitch</v>
      </c>
      <c r="D6" s="7">
        <v>2005</v>
      </c>
    </row>
    <row r="7" spans="1:4" ht="12.75">
      <c r="A7" s="35" t="str">
        <f>HYPERLINK("https://www.youtube.com/watch?v=1H60VfN5rB4","Good Girl/Carrots")</f>
        <v>Good Girl/Carrots</v>
      </c>
      <c r="B7" s="28">
        <v>132</v>
      </c>
      <c r="C7" s="29" t="str">
        <f t="shared" si="0"/>
        <v>Person Pitch</v>
      </c>
      <c r="D7" s="27">
        <v>2007</v>
      </c>
    </row>
    <row r="8" spans="1:4" ht="12.75">
      <c r="A8" s="19" t="str">
        <f>HYPERLINK("https://www.youtube.com/watch?v=plWq_XMT5i4","Last Night at the Jetty")</f>
        <v>Last Night at the Jetty</v>
      </c>
      <c r="B8" s="8">
        <v>116</v>
      </c>
      <c r="C8" s="9" t="str">
        <f>HYPERLINK("https://en.wikipedia.org/wiki/Tomboy_(album)","Tomboy")</f>
        <v>Tomboy</v>
      </c>
      <c r="D8" s="7">
        <v>2010</v>
      </c>
    </row>
    <row r="9" spans="1:4" ht="12.75">
      <c r="A9" s="35" t="str">
        <f>HYPERLINK("https://www.youtube.com/watch?v=9qgshAuvxxg","Tropic of Cancer")</f>
        <v>Tropic of Cancer</v>
      </c>
      <c r="B9" s="28">
        <v>112</v>
      </c>
      <c r="C9" s="29" t="str">
        <f>HYPERLINK("https://en.wikipedia.org/wiki/Panda_Bear_Meets_the_Grim_Reaper","Panda Bear Meets the Grim Reaper")</f>
        <v>Panda Bear Meets the Grim Reaper</v>
      </c>
      <c r="D9" s="27">
        <v>2015</v>
      </c>
    </row>
    <row r="10" spans="1:4" ht="12.75">
      <c r="A10" s="19" t="str">
        <f>HYPERLINK("https://www.youtube.com/watch?v=CmXIIL2tmR8","Mr Noah")</f>
        <v>Mr Noah</v>
      </c>
      <c r="B10" s="8">
        <v>67</v>
      </c>
      <c r="C10" s="9" t="str">
        <f>HYPERLINK("https://en.wikipedia.org/wiki/Mr_Noah","Mr Noah EP")</f>
        <v>Mr Noah EP</v>
      </c>
      <c r="D10" s="7">
        <v>2014</v>
      </c>
    </row>
    <row r="11" spans="1:4" ht="12.75">
      <c r="A11" s="35" t="str">
        <f>HYPERLINK("https://www.youtube.com/watch?v=MrLqKc3dU5c","Surfer's Hymn")</f>
        <v>Surfer's Hymn</v>
      </c>
      <c r="B11" s="28">
        <v>66</v>
      </c>
      <c r="C11" s="29" t="str">
        <f t="shared" ref="C11:C12" si="1">HYPERLINK("https://en.wikipedia.org/wiki/Tomboy_(album)","Tomboy")</f>
        <v>Tomboy</v>
      </c>
      <c r="D11" s="27">
        <v>2011</v>
      </c>
    </row>
    <row r="12" spans="1:4" ht="12.75">
      <c r="A12" s="19" t="str">
        <f>HYPERLINK("https://www.youtube.com/watch?v=5yvOYoNrzWM","Alsatian Darn")</f>
        <v>Alsatian Darn</v>
      </c>
      <c r="B12" s="8">
        <v>64</v>
      </c>
      <c r="C12" s="9" t="str">
        <f t="shared" si="1"/>
        <v>Tomboy</v>
      </c>
      <c r="D12" s="7">
        <v>2011</v>
      </c>
    </row>
    <row r="13" spans="1:4" ht="12.75">
      <c r="A13" s="102" t="str">
        <f>HYPERLINK("https://www.youtube.com/watch?v=prBaZzYmQrI","Boys Latin")</f>
        <v>Boys Latin</v>
      </c>
      <c r="B13" s="103">
        <v>48</v>
      </c>
      <c r="C13" s="31" t="str">
        <f>HYPERLINK("https://en.wikipedia.org/wiki/Panda_Bear_Meets_the_Grim_Reaper","Panda Bear Meets the Grim Reaper")</f>
        <v>Panda Bear Meets the Grim Reaper</v>
      </c>
      <c r="D13" s="24">
        <v>2014</v>
      </c>
    </row>
    <row r="14" spans="1:4" ht="12.75">
      <c r="A14" s="152"/>
      <c r="B14" s="153"/>
      <c r="C14" s="153"/>
      <c r="D14" s="154"/>
    </row>
    <row r="15" spans="1:4" ht="15.75" customHeight="1">
      <c r="A15" s="22" t="str">
        <f>HYPERLINK("https://www.reddit.com/r/indieheads/comments/e5fxif/top_ten_tuesday_parquet_courts/","Parquet Courts")</f>
        <v>Parquet Courts</v>
      </c>
      <c r="B15" s="43">
        <v>43802</v>
      </c>
      <c r="C15" s="24"/>
      <c r="D15" s="32" t="s">
        <v>1</v>
      </c>
    </row>
    <row r="16" spans="1:4" ht="12.75">
      <c r="A16" s="26" t="s">
        <v>2</v>
      </c>
      <c r="B16" s="26" t="s">
        <v>3</v>
      </c>
      <c r="C16" s="26" t="s">
        <v>4</v>
      </c>
      <c r="D16" s="26" t="s">
        <v>5</v>
      </c>
    </row>
    <row r="17" spans="1:4" ht="12.75">
      <c r="A17" s="7" t="s">
        <v>2727</v>
      </c>
      <c r="B17" s="8">
        <v>487</v>
      </c>
      <c r="C17" s="9" t="str">
        <f>HYPERLINK("https://en.wikipedia.org/wiki/Wide_Awake!","Wide Awake!")</f>
        <v>Wide Awake!</v>
      </c>
      <c r="D17" s="7">
        <v>2018</v>
      </c>
    </row>
    <row r="18" spans="1:4" ht="12.75">
      <c r="A18" s="10" t="s">
        <v>2728</v>
      </c>
      <c r="B18" s="11">
        <v>447</v>
      </c>
      <c r="C18" s="12" t="str">
        <f>HYPERLINK("https://en.wikipedia.org/wiki/Light_Up_Gold","Light Up Gold")</f>
        <v>Light Up Gold</v>
      </c>
      <c r="D18" s="10">
        <v>2012</v>
      </c>
    </row>
    <row r="19" spans="1:4" ht="12.75">
      <c r="A19" s="7" t="s">
        <v>3949</v>
      </c>
      <c r="B19" s="8">
        <v>442</v>
      </c>
      <c r="C19" s="9" t="str">
        <f>HYPERLINK("https://en.wikipedia.org/wiki/Wide_Awake!","Wide Awake!")</f>
        <v>Wide Awake!</v>
      </c>
      <c r="D19" s="7">
        <v>2018</v>
      </c>
    </row>
    <row r="20" spans="1:4" ht="12.75">
      <c r="A20" s="27" t="s">
        <v>2729</v>
      </c>
      <c r="B20" s="28">
        <v>416</v>
      </c>
      <c r="C20" s="29" t="str">
        <f>HYPERLINK("https://en.wikipedia.org/wiki/Light_Up_Gold","Light Up Gold")</f>
        <v>Light Up Gold</v>
      </c>
      <c r="D20" s="27">
        <v>2012</v>
      </c>
    </row>
    <row r="21" spans="1:4" ht="12.75">
      <c r="A21" s="7" t="s">
        <v>1826</v>
      </c>
      <c r="B21" s="8">
        <v>389</v>
      </c>
      <c r="C21" s="9" t="str">
        <f>HYPERLINK("https://en.wikipedia.org/wiki/Wide_Awake!","Wide Awake!")</f>
        <v>Wide Awake!</v>
      </c>
      <c r="D21" s="7">
        <v>2018</v>
      </c>
    </row>
    <row r="22" spans="1:4" ht="12.75">
      <c r="A22" s="10" t="s">
        <v>2730</v>
      </c>
      <c r="B22" s="11">
        <v>343</v>
      </c>
      <c r="C22" s="12" t="str">
        <f>HYPERLINK("https://en.wikipedia.org/wiki/Light_Up_Gold","Light Up Gold")</f>
        <v>Light Up Gold</v>
      </c>
      <c r="D22" s="10">
        <v>2012</v>
      </c>
    </row>
    <row r="23" spans="1:4" ht="12.75">
      <c r="A23" s="7" t="s">
        <v>2731</v>
      </c>
      <c r="B23" s="8">
        <v>338</v>
      </c>
      <c r="C23" s="9" t="str">
        <f>HYPERLINK("https://en.wikipedia.org/wiki/Human_Performance","Human Performance")</f>
        <v>Human Performance</v>
      </c>
      <c r="D23" s="7">
        <v>2016</v>
      </c>
    </row>
    <row r="24" spans="1:4" ht="12.75">
      <c r="A24" s="10" t="s">
        <v>2732</v>
      </c>
      <c r="B24" s="11">
        <v>323</v>
      </c>
      <c r="C24" s="12" t="str">
        <f>HYPERLINK("https://en.wikipedia.org/wiki/Content_Nausea","Content Nausea")</f>
        <v>Content Nausea</v>
      </c>
      <c r="D24" s="10">
        <v>2014</v>
      </c>
    </row>
    <row r="25" spans="1:4" ht="12.75">
      <c r="A25" s="7" t="s">
        <v>2733</v>
      </c>
      <c r="B25" s="8">
        <v>272</v>
      </c>
      <c r="C25" s="9" t="str">
        <f>HYPERLINK("https://en.wikipedia.org/wiki/Sunbathing_Animal","Sunbathing Animal")</f>
        <v>Sunbathing Animal</v>
      </c>
      <c r="D25" s="7">
        <v>2014</v>
      </c>
    </row>
    <row r="26" spans="1:4" ht="12.75">
      <c r="A26" s="4" t="s">
        <v>2734</v>
      </c>
      <c r="B26" s="104">
        <v>265</v>
      </c>
      <c r="C26" s="44" t="str">
        <f>HYPERLINK("https://en.wikipedia.org/wiki/Wide_Awake!","Wide Awake!")</f>
        <v>Wide Awake!</v>
      </c>
      <c r="D26" s="4">
        <v>2018</v>
      </c>
    </row>
    <row r="27" spans="1:4" ht="12.75">
      <c r="A27" s="152"/>
      <c r="B27" s="153"/>
      <c r="C27" s="153"/>
      <c r="D27" s="154"/>
    </row>
    <row r="28" spans="1:4" ht="18">
      <c r="A28" s="13" t="s">
        <v>2735</v>
      </c>
      <c r="B28" s="47">
        <v>44915</v>
      </c>
      <c r="C28" s="48"/>
      <c r="D28" s="48"/>
    </row>
    <row r="29" spans="1:4" ht="12.75">
      <c r="A29" s="15" t="s">
        <v>2</v>
      </c>
      <c r="B29" s="15" t="s">
        <v>3</v>
      </c>
      <c r="C29" s="15" t="s">
        <v>4</v>
      </c>
      <c r="D29" s="15" t="s">
        <v>5</v>
      </c>
    </row>
    <row r="30" spans="1:4" ht="12.75">
      <c r="A30" s="16" t="s">
        <v>2736</v>
      </c>
      <c r="B30" s="16">
        <v>233</v>
      </c>
      <c r="C30" s="16" t="s">
        <v>2736</v>
      </c>
      <c r="D30" s="16">
        <v>1973</v>
      </c>
    </row>
    <row r="31" spans="1:4" ht="12.75">
      <c r="A31" s="17" t="s">
        <v>2737</v>
      </c>
      <c r="B31" s="17">
        <v>199</v>
      </c>
      <c r="C31" s="17" t="s">
        <v>2738</v>
      </c>
      <c r="D31" s="17">
        <v>1970</v>
      </c>
    </row>
    <row r="32" spans="1:4" ht="12.75">
      <c r="A32" s="16" t="s">
        <v>3950</v>
      </c>
      <c r="B32" s="16">
        <v>192</v>
      </c>
      <c r="C32" s="16" t="s">
        <v>2739</v>
      </c>
      <c r="D32" s="16">
        <v>1971</v>
      </c>
    </row>
    <row r="33" spans="1:4" ht="12.75">
      <c r="A33" s="17" t="s">
        <v>2740</v>
      </c>
      <c r="B33" s="17">
        <v>143</v>
      </c>
      <c r="C33" s="17" t="s">
        <v>2736</v>
      </c>
      <c r="D33" s="17">
        <v>1973</v>
      </c>
    </row>
    <row r="34" spans="1:4" ht="12.75">
      <c r="A34" s="137" t="s">
        <v>3980</v>
      </c>
      <c r="B34" s="16">
        <v>106</v>
      </c>
      <c r="C34" s="16" t="s">
        <v>2736</v>
      </c>
      <c r="D34" s="16">
        <v>1973</v>
      </c>
    </row>
    <row r="35" spans="1:4" ht="12.75">
      <c r="A35" s="16" t="s">
        <v>2743</v>
      </c>
      <c r="B35" s="16">
        <v>105</v>
      </c>
      <c r="C35" s="16" t="s">
        <v>2743</v>
      </c>
      <c r="D35" s="16">
        <v>1973</v>
      </c>
    </row>
    <row r="36" spans="1:4" ht="12.75">
      <c r="A36" s="17" t="s">
        <v>2744</v>
      </c>
      <c r="B36" s="17">
        <v>98</v>
      </c>
      <c r="C36" s="17" t="s">
        <v>1594</v>
      </c>
      <c r="D36" s="17">
        <v>1979</v>
      </c>
    </row>
    <row r="37" spans="1:4" ht="12.75">
      <c r="A37" s="16" t="s">
        <v>2745</v>
      </c>
      <c r="B37" s="16">
        <v>98</v>
      </c>
      <c r="C37" s="16" t="s">
        <v>2746</v>
      </c>
      <c r="D37" s="16">
        <v>1980</v>
      </c>
    </row>
    <row r="38" spans="1:4" ht="12.75">
      <c r="A38" s="17" t="s">
        <v>2747</v>
      </c>
      <c r="B38" s="17">
        <v>96</v>
      </c>
      <c r="C38" s="17" t="s">
        <v>2736</v>
      </c>
      <c r="D38" s="17">
        <v>1973</v>
      </c>
    </row>
    <row r="39" spans="1:4" ht="12.75">
      <c r="A39" s="17"/>
      <c r="B39" s="17"/>
      <c r="C39" s="17"/>
      <c r="D39" s="17"/>
    </row>
    <row r="40" spans="1:4" ht="18">
      <c r="A40" s="141" t="s">
        <v>3981</v>
      </c>
      <c r="B40" s="47">
        <v>44915</v>
      </c>
      <c r="C40" s="48"/>
      <c r="D40" s="48"/>
    </row>
    <row r="41" spans="1:4" ht="12.75">
      <c r="A41" s="15" t="s">
        <v>2</v>
      </c>
      <c r="B41" s="15" t="s">
        <v>3</v>
      </c>
      <c r="C41" s="15" t="s">
        <v>4</v>
      </c>
      <c r="D41" s="15" t="s">
        <v>5</v>
      </c>
    </row>
    <row r="42" spans="1:4" ht="12.75">
      <c r="A42" s="17" t="s">
        <v>2741</v>
      </c>
      <c r="B42" s="17">
        <v>105</v>
      </c>
      <c r="C42" s="17" t="s">
        <v>2742</v>
      </c>
      <c r="D42" s="17">
        <v>1979</v>
      </c>
    </row>
    <row r="43" spans="1:4" ht="12.75">
      <c r="A43" s="155"/>
      <c r="B43" s="156"/>
      <c r="C43" s="156"/>
      <c r="D43" s="156"/>
    </row>
    <row r="44" spans="1:4" ht="18">
      <c r="A44" s="22" t="str">
        <f>HYPERLINK("https://www.reddit.com/r/indieheads/comments/5837bs/top_ten_tuesday_passion_pit/","Passion Pit")</f>
        <v>Passion Pit</v>
      </c>
      <c r="B44" s="43">
        <v>42661</v>
      </c>
      <c r="C44" s="24"/>
      <c r="D44" s="24"/>
    </row>
    <row r="45" spans="1:4" ht="12.75">
      <c r="A45" s="26" t="s">
        <v>2</v>
      </c>
      <c r="B45" s="26" t="s">
        <v>3</v>
      </c>
      <c r="C45" s="26" t="s">
        <v>4</v>
      </c>
      <c r="D45" s="26" t="s">
        <v>5</v>
      </c>
    </row>
    <row r="46" spans="1:4" ht="12.75">
      <c r="A46" s="7" t="s">
        <v>2748</v>
      </c>
      <c r="B46" s="8">
        <v>333</v>
      </c>
      <c r="C46" s="9" t="str">
        <f>HYPERLINK("https://en.wikipedia.org/wiki/Gossamer_(album)","Gossamer")</f>
        <v>Gossamer</v>
      </c>
      <c r="D46" s="7">
        <v>2012</v>
      </c>
    </row>
    <row r="47" spans="1:4" ht="12.75">
      <c r="A47" s="27" t="s">
        <v>2749</v>
      </c>
      <c r="B47" s="28">
        <v>317</v>
      </c>
      <c r="C47" s="29" t="str">
        <f>HYPERLINK("https://en.wikipedia.org/wiki/Chunk_of_Change","Chunk of Change")</f>
        <v>Chunk of Change</v>
      </c>
      <c r="D47" s="27">
        <v>2008</v>
      </c>
    </row>
    <row r="48" spans="1:4" ht="12.75">
      <c r="A48" s="7" t="s">
        <v>2750</v>
      </c>
      <c r="B48" s="8">
        <v>253</v>
      </c>
      <c r="C48" s="9" t="str">
        <f t="shared" ref="C48:C50" si="2">HYPERLINK("https://en.wikipedia.org/wiki/Manners_(album)","Manners")</f>
        <v>Manners</v>
      </c>
      <c r="D48" s="7">
        <v>2009</v>
      </c>
    </row>
    <row r="49" spans="1:4" ht="12.75">
      <c r="A49" s="27" t="s">
        <v>2751</v>
      </c>
      <c r="B49" s="28">
        <v>205</v>
      </c>
      <c r="C49" s="29" t="str">
        <f t="shared" si="2"/>
        <v>Manners</v>
      </c>
      <c r="D49" s="27">
        <v>2009</v>
      </c>
    </row>
    <row r="50" spans="1:4" ht="12.75">
      <c r="A50" s="7" t="s">
        <v>2752</v>
      </c>
      <c r="B50" s="8">
        <v>200</v>
      </c>
      <c r="C50" s="9" t="str">
        <f t="shared" si="2"/>
        <v>Manners</v>
      </c>
      <c r="D50" s="7">
        <v>2009</v>
      </c>
    </row>
    <row r="51" spans="1:4" ht="12.75">
      <c r="A51" s="27" t="s">
        <v>2753</v>
      </c>
      <c r="B51" s="28">
        <v>178</v>
      </c>
      <c r="C51" s="29" t="str">
        <f t="shared" ref="C51:C53" si="3">HYPERLINK("https://en.wikipedia.org/wiki/Gossamer_(album)","Gossamer")</f>
        <v>Gossamer</v>
      </c>
      <c r="D51" s="27">
        <v>2012</v>
      </c>
    </row>
    <row r="52" spans="1:4" ht="12.75">
      <c r="A52" s="7" t="s">
        <v>2754</v>
      </c>
      <c r="B52" s="8">
        <v>162</v>
      </c>
      <c r="C52" s="9" t="str">
        <f t="shared" si="3"/>
        <v>Gossamer</v>
      </c>
      <c r="D52" s="7">
        <v>2012</v>
      </c>
    </row>
    <row r="53" spans="1:4" ht="12.75">
      <c r="A53" s="27" t="s">
        <v>2755</v>
      </c>
      <c r="B53" s="28">
        <v>161</v>
      </c>
      <c r="C53" s="29" t="str">
        <f t="shared" si="3"/>
        <v>Gossamer</v>
      </c>
      <c r="D53" s="27">
        <v>2012</v>
      </c>
    </row>
    <row r="54" spans="1:4" ht="12.75">
      <c r="A54" s="7" t="s">
        <v>2756</v>
      </c>
      <c r="B54" s="8">
        <v>151</v>
      </c>
      <c r="C54" s="9" t="str">
        <f t="shared" ref="C54:C55" si="4">HYPERLINK("https://en.wikipedia.org/wiki/Manners_(album)","Manners")</f>
        <v>Manners</v>
      </c>
      <c r="D54" s="7">
        <v>2009</v>
      </c>
    </row>
    <row r="55" spans="1:4" ht="12.75">
      <c r="A55" s="27" t="s">
        <v>2757</v>
      </c>
      <c r="B55" s="28">
        <v>141</v>
      </c>
      <c r="C55" s="29" t="str">
        <f t="shared" si="4"/>
        <v>Manners</v>
      </c>
      <c r="D55" s="27">
        <v>2009</v>
      </c>
    </row>
    <row r="56" spans="1:4" ht="12.75">
      <c r="A56" s="152"/>
      <c r="B56" s="153"/>
      <c r="C56" s="153"/>
      <c r="D56" s="154"/>
    </row>
    <row r="57" spans="1:4" ht="18">
      <c r="A57" s="22" t="s">
        <v>2758</v>
      </c>
      <c r="B57" s="23">
        <v>44684</v>
      </c>
      <c r="C57" s="24"/>
      <c r="D57" s="32" t="s">
        <v>1</v>
      </c>
    </row>
    <row r="58" spans="1:4" ht="12.75">
      <c r="A58" s="26" t="s">
        <v>2</v>
      </c>
      <c r="B58" s="26" t="s">
        <v>3</v>
      </c>
      <c r="C58" s="26" t="s">
        <v>4</v>
      </c>
      <c r="D58" s="26" t="s">
        <v>5</v>
      </c>
    </row>
    <row r="59" spans="1:4" ht="12.75">
      <c r="A59" s="7" t="s">
        <v>2759</v>
      </c>
      <c r="B59" s="8">
        <v>531</v>
      </c>
      <c r="C59" s="9" t="str">
        <f>HYPERLINK("https://en.wikipedia.org/wiki/Crooked_Rain,_Crooked_Rain","Crooked Rain, Crooked Rain")</f>
        <v>Crooked Rain, Crooked Rain</v>
      </c>
      <c r="D59" s="7">
        <v>1994</v>
      </c>
    </row>
    <row r="60" spans="1:4" ht="12.75">
      <c r="A60" s="10" t="s">
        <v>2760</v>
      </c>
      <c r="B60" s="11">
        <v>455</v>
      </c>
      <c r="C60" s="12" t="str">
        <f>HYPERLINK("https://en.wikipedia.org/wiki/Wowee_Zowee","Wowee Zowee")</f>
        <v>Wowee Zowee</v>
      </c>
      <c r="D60" s="10">
        <v>1995</v>
      </c>
    </row>
    <row r="61" spans="1:4" ht="12.75">
      <c r="A61" s="7" t="s">
        <v>2761</v>
      </c>
      <c r="B61" s="8">
        <v>287</v>
      </c>
      <c r="C61" s="9" t="str">
        <f>HYPERLINK("https://en.wikipedia.org/wiki/Crooked_Rain,_Crooked_Rain","Crooked Rain, Crooked Rain")</f>
        <v>Crooked Rain, Crooked Rain</v>
      </c>
      <c r="D61" s="7">
        <v>1994</v>
      </c>
    </row>
    <row r="62" spans="1:4" ht="12.75">
      <c r="A62" s="27" t="s">
        <v>2762</v>
      </c>
      <c r="B62" s="28">
        <v>266</v>
      </c>
      <c r="C62" s="29" t="str">
        <f>HYPERLINK("https://en.wikipedia.org/wiki/Slanted_and_Enchanted","Slanted and Enchanted")</f>
        <v>Slanted and Enchanted</v>
      </c>
      <c r="D62" s="27">
        <v>1992</v>
      </c>
    </row>
    <row r="63" spans="1:4" ht="12.75">
      <c r="A63" s="7" t="s">
        <v>2763</v>
      </c>
      <c r="B63" s="8">
        <v>261</v>
      </c>
      <c r="C63" s="9" t="str">
        <f>HYPERLINK("https://en.wikipedia.org/wiki/Watery,_Domestic","Watery, Domestic")</f>
        <v>Watery, Domestic</v>
      </c>
      <c r="D63" s="7">
        <v>1992</v>
      </c>
    </row>
    <row r="64" spans="1:4" ht="12.75">
      <c r="A64" s="27" t="s">
        <v>2764</v>
      </c>
      <c r="B64" s="28">
        <v>244</v>
      </c>
      <c r="C64" s="29" t="str">
        <f t="shared" ref="C64:C65" si="5">HYPERLINK("https://en.wikipedia.org/wiki/Slanted_and_Enchanted","Slanted and Enchanted")</f>
        <v>Slanted and Enchanted</v>
      </c>
      <c r="D64" s="27">
        <v>1992</v>
      </c>
    </row>
    <row r="65" spans="1:4" ht="12.75">
      <c r="A65" s="7" t="s">
        <v>2765</v>
      </c>
      <c r="B65" s="8">
        <v>213</v>
      </c>
      <c r="C65" s="9" t="str">
        <f t="shared" si="5"/>
        <v>Slanted and Enchanted</v>
      </c>
      <c r="D65" s="7">
        <v>1992</v>
      </c>
    </row>
    <row r="66" spans="1:4" ht="12.75">
      <c r="A66" s="27" t="s">
        <v>2766</v>
      </c>
      <c r="B66" s="28">
        <v>175</v>
      </c>
      <c r="C66" s="29" t="str">
        <f>HYPERLINK("https://en.wikipedia.org/wiki/Crooked_Rain,_Crooked_Rain","Crooked Rain, Crooked Rain")</f>
        <v>Crooked Rain, Crooked Rain</v>
      </c>
      <c r="D66" s="27">
        <v>1994</v>
      </c>
    </row>
    <row r="67" spans="1:4" ht="12.75">
      <c r="A67" s="7" t="s">
        <v>2767</v>
      </c>
      <c r="B67" s="8">
        <v>169</v>
      </c>
      <c r="C67" s="9" t="s">
        <v>2768</v>
      </c>
      <c r="D67" s="7">
        <v>1997</v>
      </c>
    </row>
    <row r="68" spans="1:4" ht="12.75">
      <c r="A68" s="24" t="s">
        <v>2769</v>
      </c>
      <c r="B68" s="103">
        <v>160</v>
      </c>
      <c r="C68" s="31" t="str">
        <f>HYPERLINK("https://en.wikipedia.org/wiki/Crooked_Rain,_Crooked_Rain","Crooked Rain, Crooked Rain")</f>
        <v>Crooked Rain, Crooked Rain</v>
      </c>
      <c r="D68" s="24">
        <v>1994</v>
      </c>
    </row>
    <row r="69" spans="1:4" ht="12.75">
      <c r="A69" s="152"/>
      <c r="B69" s="153"/>
      <c r="C69" s="153"/>
      <c r="D69" s="154"/>
    </row>
    <row r="70" spans="1:4" ht="18">
      <c r="A70" s="22" t="s">
        <v>2770</v>
      </c>
      <c r="B70" s="30">
        <v>44166</v>
      </c>
      <c r="C70" s="24"/>
      <c r="D70" s="32" t="s">
        <v>1</v>
      </c>
    </row>
    <row r="71" spans="1:4" ht="12.75">
      <c r="A71" s="26" t="s">
        <v>2</v>
      </c>
      <c r="B71" s="26" t="s">
        <v>3</v>
      </c>
      <c r="C71" s="26" t="s">
        <v>4</v>
      </c>
      <c r="D71" s="26" t="s">
        <v>5</v>
      </c>
    </row>
    <row r="72" spans="1:4" ht="12.75">
      <c r="A72" s="7" t="s">
        <v>2771</v>
      </c>
      <c r="B72" s="8">
        <v>234</v>
      </c>
      <c r="C72" s="9" t="str">
        <f>HYPERLINK("https://en.wikipedia.org/wiki/No_Shape","No Shape")</f>
        <v>No Shape</v>
      </c>
      <c r="D72" s="7">
        <v>2017</v>
      </c>
    </row>
    <row r="73" spans="1:4" ht="12.75">
      <c r="A73" s="27" t="s">
        <v>2772</v>
      </c>
      <c r="B73" s="28">
        <v>228</v>
      </c>
      <c r="C73" s="12" t="s">
        <v>2773</v>
      </c>
      <c r="D73" s="27">
        <v>2020</v>
      </c>
    </row>
    <row r="74" spans="1:4" ht="12.75">
      <c r="A74" s="7" t="s">
        <v>2774</v>
      </c>
      <c r="B74" s="8">
        <v>210</v>
      </c>
      <c r="C74" s="9" t="str">
        <f>HYPERLINK("https://en.wikipedia.org/wiki/Too_Bright","Too Bright")</f>
        <v>Too Bright</v>
      </c>
      <c r="D74" s="7">
        <v>2014</v>
      </c>
    </row>
    <row r="75" spans="1:4" ht="12.75">
      <c r="A75" s="10" t="s">
        <v>2775</v>
      </c>
      <c r="B75" s="11">
        <v>138</v>
      </c>
      <c r="C75" s="12" t="str">
        <f>HYPERLINK("https://en.wikipedia.org/wiki/No_Shape","No Shape")</f>
        <v>No Shape</v>
      </c>
      <c r="D75" s="10">
        <v>2017</v>
      </c>
    </row>
    <row r="76" spans="1:4" ht="12.75">
      <c r="A76" s="7" t="s">
        <v>2776</v>
      </c>
      <c r="B76" s="8">
        <v>128</v>
      </c>
      <c r="C76" s="9" t="s">
        <v>2773</v>
      </c>
      <c r="D76" s="7">
        <v>2020</v>
      </c>
    </row>
    <row r="77" spans="1:4" ht="12.75">
      <c r="A77" s="27" t="s">
        <v>2777</v>
      </c>
      <c r="B77" s="28">
        <v>119</v>
      </c>
      <c r="C77" s="29" t="str">
        <f>HYPERLINK("https://en.wikipedia.org/wiki/Put_Your_Back_N_2_It","Put Your Back N 2 It")</f>
        <v>Put Your Back N 2 It</v>
      </c>
      <c r="D77" s="27">
        <v>2012</v>
      </c>
    </row>
    <row r="78" spans="1:4" ht="12.75">
      <c r="A78" s="7" t="s">
        <v>2778</v>
      </c>
      <c r="B78" s="8">
        <v>118</v>
      </c>
      <c r="C78" s="9" t="str">
        <f>HYPERLINK("https://en.wikipedia.org/wiki/No_Shape","No Shape")</f>
        <v>No Shape</v>
      </c>
      <c r="D78" s="7">
        <v>2017</v>
      </c>
    </row>
    <row r="79" spans="1:4" ht="12.75">
      <c r="A79" s="27" t="s">
        <v>2779</v>
      </c>
      <c r="B79" s="28">
        <v>95</v>
      </c>
      <c r="C79" s="29" t="s">
        <v>2773</v>
      </c>
      <c r="D79" s="27">
        <v>2020</v>
      </c>
    </row>
    <row r="80" spans="1:4" ht="12.75">
      <c r="A80" s="7" t="s">
        <v>2780</v>
      </c>
      <c r="B80" s="8">
        <v>91</v>
      </c>
      <c r="C80" s="9" t="str">
        <f t="shared" ref="C80:C81" si="6">HYPERLINK("https://en.wikipedia.org/wiki/Too_Bright","Too Bright")</f>
        <v>Too Bright</v>
      </c>
      <c r="D80" s="7">
        <v>2014</v>
      </c>
    </row>
    <row r="81" spans="1:4" ht="12.75">
      <c r="A81" s="4" t="s">
        <v>2781</v>
      </c>
      <c r="B81" s="104">
        <v>81</v>
      </c>
      <c r="C81" s="44" t="str">
        <f t="shared" si="6"/>
        <v>Too Bright</v>
      </c>
      <c r="D81" s="4">
        <v>2014</v>
      </c>
    </row>
    <row r="82" spans="1:4" ht="12.75">
      <c r="A82" s="152"/>
      <c r="B82" s="153"/>
      <c r="C82" s="153"/>
      <c r="D82" s="154"/>
    </row>
    <row r="83" spans="1:4" ht="18">
      <c r="A83" s="2" t="s">
        <v>2782</v>
      </c>
      <c r="B83" s="105">
        <v>44481</v>
      </c>
      <c r="C83" s="4"/>
      <c r="D83" s="5" t="s">
        <v>1</v>
      </c>
    </row>
    <row r="84" spans="1:4" ht="12.75">
      <c r="A84" s="6" t="s">
        <v>2</v>
      </c>
      <c r="B84" s="6" t="s">
        <v>3</v>
      </c>
      <c r="C84" s="6" t="s">
        <v>4</v>
      </c>
      <c r="D84" s="6" t="s">
        <v>5</v>
      </c>
    </row>
    <row r="85" spans="1:4" ht="12.75">
      <c r="A85" s="7" t="s">
        <v>2783</v>
      </c>
      <c r="B85" s="8">
        <v>151</v>
      </c>
      <c r="C85" s="9" t="s">
        <v>2784</v>
      </c>
      <c r="D85" s="7">
        <v>1988</v>
      </c>
    </row>
    <row r="86" spans="1:4" ht="12.75">
      <c r="A86" s="10" t="s">
        <v>2785</v>
      </c>
      <c r="B86" s="11">
        <v>133</v>
      </c>
      <c r="C86" s="10"/>
      <c r="D86" s="10"/>
    </row>
    <row r="87" spans="1:4" ht="12.75">
      <c r="A87" s="7" t="s">
        <v>2786</v>
      </c>
      <c r="B87" s="8">
        <v>121</v>
      </c>
      <c r="C87" s="9" t="s">
        <v>2784</v>
      </c>
      <c r="D87" s="7">
        <v>1989</v>
      </c>
    </row>
    <row r="88" spans="1:4" ht="12.75">
      <c r="A88" s="10" t="s">
        <v>2787</v>
      </c>
      <c r="B88" s="11">
        <v>112</v>
      </c>
      <c r="C88" s="12" t="s">
        <v>2788</v>
      </c>
      <c r="D88" s="10">
        <v>1990</v>
      </c>
    </row>
    <row r="89" spans="1:4" ht="12.75">
      <c r="A89" s="7" t="s">
        <v>2789</v>
      </c>
      <c r="B89" s="8">
        <v>105</v>
      </c>
      <c r="C89" s="9" t="s">
        <v>2790</v>
      </c>
      <c r="D89" s="7">
        <v>1992</v>
      </c>
    </row>
    <row r="90" spans="1:4" ht="12.75">
      <c r="A90" s="10" t="s">
        <v>2791</v>
      </c>
      <c r="B90" s="11">
        <v>86</v>
      </c>
      <c r="C90" s="12" t="s">
        <v>2788</v>
      </c>
      <c r="D90" s="10">
        <v>1989</v>
      </c>
    </row>
    <row r="91" spans="1:4" ht="12.75">
      <c r="A91" s="7" t="s">
        <v>2792</v>
      </c>
      <c r="B91" s="8">
        <v>62</v>
      </c>
      <c r="C91" s="9" t="s">
        <v>2782</v>
      </c>
      <c r="D91" s="7">
        <v>1986</v>
      </c>
    </row>
    <row r="92" spans="1:4" ht="12.75">
      <c r="A92" s="10" t="s">
        <v>2793</v>
      </c>
      <c r="B92" s="11">
        <v>61</v>
      </c>
      <c r="C92" s="12" t="s">
        <v>2784</v>
      </c>
      <c r="D92" s="10">
        <v>1989</v>
      </c>
    </row>
    <row r="93" spans="1:4" ht="12.75">
      <c r="A93" s="7" t="s">
        <v>2794</v>
      </c>
      <c r="B93" s="8">
        <v>53</v>
      </c>
      <c r="C93" s="9" t="s">
        <v>2790</v>
      </c>
      <c r="D93" s="7">
        <v>1992</v>
      </c>
    </row>
    <row r="94" spans="1:4" ht="12.75">
      <c r="A94" s="4" t="s">
        <v>2795</v>
      </c>
      <c r="B94" s="104">
        <v>51</v>
      </c>
      <c r="C94" s="44" t="s">
        <v>2788</v>
      </c>
      <c r="D94" s="4">
        <v>1990</v>
      </c>
    </row>
    <row r="95" spans="1:4" ht="12.75">
      <c r="A95" s="152"/>
      <c r="B95" s="153"/>
      <c r="C95" s="153"/>
      <c r="D95" s="154"/>
    </row>
    <row r="96" spans="1:4" ht="18">
      <c r="A96" s="13" t="s">
        <v>2796</v>
      </c>
      <c r="B96" s="14">
        <v>44873</v>
      </c>
      <c r="C96" s="15"/>
      <c r="D96" s="15"/>
    </row>
    <row r="97" spans="1:4" ht="12.75">
      <c r="A97" s="15" t="s">
        <v>2</v>
      </c>
      <c r="B97" s="15" t="s">
        <v>3</v>
      </c>
      <c r="C97" s="15" t="s">
        <v>4</v>
      </c>
      <c r="D97" s="15" t="s">
        <v>5</v>
      </c>
    </row>
    <row r="98" spans="1:4" ht="12.75">
      <c r="A98" s="16" t="s">
        <v>2797</v>
      </c>
      <c r="B98" s="16">
        <v>1113</v>
      </c>
      <c r="C98" s="16" t="s">
        <v>2798</v>
      </c>
      <c r="D98" s="16">
        <v>2020</v>
      </c>
    </row>
    <row r="99" spans="1:4" ht="12.75">
      <c r="A99" s="17" t="s">
        <v>2799</v>
      </c>
      <c r="B99" s="17">
        <v>744</v>
      </c>
      <c r="C99" s="17" t="s">
        <v>2800</v>
      </c>
      <c r="D99" s="17">
        <v>2017</v>
      </c>
    </row>
    <row r="100" spans="1:4" ht="12.75">
      <c r="A100" s="16" t="s">
        <v>2801</v>
      </c>
      <c r="B100" s="16">
        <v>712</v>
      </c>
      <c r="C100" s="16" t="s">
        <v>2798</v>
      </c>
      <c r="D100" s="16">
        <v>2020</v>
      </c>
    </row>
    <row r="101" spans="1:4" ht="12.75">
      <c r="A101" s="17" t="s">
        <v>2802</v>
      </c>
      <c r="B101" s="17">
        <v>622</v>
      </c>
      <c r="C101" s="17" t="s">
        <v>2800</v>
      </c>
      <c r="D101" s="17">
        <v>2017</v>
      </c>
    </row>
    <row r="102" spans="1:4" ht="12.75">
      <c r="A102" s="16" t="s">
        <v>2803</v>
      </c>
      <c r="B102" s="16">
        <v>570</v>
      </c>
      <c r="C102" s="16" t="s">
        <v>2798</v>
      </c>
      <c r="D102" s="16">
        <v>2020</v>
      </c>
    </row>
    <row r="103" spans="1:4" ht="12.75">
      <c r="A103" s="17" t="s">
        <v>2804</v>
      </c>
      <c r="B103" s="17">
        <v>550</v>
      </c>
      <c r="C103" s="17" t="s">
        <v>2798</v>
      </c>
      <c r="D103" s="17">
        <v>2020</v>
      </c>
    </row>
    <row r="104" spans="1:4" ht="12.75">
      <c r="A104" s="16" t="s">
        <v>2805</v>
      </c>
      <c r="B104" s="16">
        <v>531</v>
      </c>
      <c r="C104" s="16" t="s">
        <v>2800</v>
      </c>
      <c r="D104" s="16">
        <v>2017</v>
      </c>
    </row>
    <row r="105" spans="1:4" ht="12.75">
      <c r="A105" s="17" t="s">
        <v>2806</v>
      </c>
      <c r="B105" s="17">
        <v>499</v>
      </c>
      <c r="C105" s="17" t="s">
        <v>2800</v>
      </c>
      <c r="D105" s="17">
        <v>2017</v>
      </c>
    </row>
    <row r="106" spans="1:4" ht="12.75">
      <c r="A106" s="16" t="s">
        <v>2807</v>
      </c>
      <c r="B106" s="16">
        <v>482</v>
      </c>
      <c r="C106" s="16" t="s">
        <v>2798</v>
      </c>
      <c r="D106" s="16">
        <v>2020</v>
      </c>
    </row>
    <row r="107" spans="1:4" ht="12.75">
      <c r="A107" s="17" t="s">
        <v>2808</v>
      </c>
      <c r="B107" s="17">
        <v>426</v>
      </c>
      <c r="C107" s="17" t="s">
        <v>2798</v>
      </c>
      <c r="D107" s="17">
        <v>2020</v>
      </c>
    </row>
    <row r="108" spans="1:4" ht="12.75">
      <c r="A108" s="155"/>
      <c r="B108" s="156"/>
      <c r="C108" s="156"/>
      <c r="D108" s="156"/>
    </row>
    <row r="109" spans="1:4" ht="18">
      <c r="A109" s="22" t="str">
        <f>HYPERLINK("https://www.reddit.com/r/indieheads/comments/3yov0w/top_ten_tuesday_phoenix/","Phoenix")</f>
        <v>Phoenix</v>
      </c>
      <c r="B109" s="23">
        <v>42367</v>
      </c>
      <c r="C109" s="24"/>
      <c r="D109" s="24"/>
    </row>
    <row r="110" spans="1:4" ht="12.75">
      <c r="A110" s="26" t="s">
        <v>2</v>
      </c>
      <c r="B110" s="26" t="s">
        <v>3</v>
      </c>
      <c r="C110" s="26" t="s">
        <v>4</v>
      </c>
      <c r="D110" s="26" t="s">
        <v>5</v>
      </c>
    </row>
    <row r="111" spans="1:4" ht="12.75">
      <c r="A111" s="9" t="str">
        <f>HYPERLINK("https://www.youtube.com/watch?v=HL548cHH3OY","1901")</f>
        <v>1901</v>
      </c>
      <c r="B111" s="8">
        <v>185</v>
      </c>
      <c r="C111" s="9" t="str">
        <f t="shared" ref="C111:C112" si="7">HYPERLINK("https://en.wikipedia.org/wiki/Wolfgang_Amadeus_Phoenix","Wolfgang Amadeus Phoenix")</f>
        <v>Wolfgang Amadeus Phoenix</v>
      </c>
      <c r="D111" s="7">
        <v>2009</v>
      </c>
    </row>
    <row r="112" spans="1:4" ht="12.75">
      <c r="A112" s="29" t="str">
        <f>HYPERLINK("https://www.youtube.com/watch?v=uF3reVVUbio","Lisztomania")</f>
        <v>Lisztomania</v>
      </c>
      <c r="B112" s="28">
        <v>161</v>
      </c>
      <c r="C112" s="29" t="str">
        <f t="shared" si="7"/>
        <v>Wolfgang Amadeus Phoenix</v>
      </c>
      <c r="D112" s="27">
        <v>2009</v>
      </c>
    </row>
    <row r="113" spans="1:4" ht="12.75">
      <c r="A113" s="9" t="str">
        <f>HYPERLINK("https://www.youtube.com/watch?v=jJp3kVelU3c","If I Ever Feel Better")</f>
        <v>If I Ever Feel Better</v>
      </c>
      <c r="B113" s="8">
        <v>155</v>
      </c>
      <c r="C113" s="9" t="str">
        <f>HYPERLINK("https://en.wikipedia.org/wiki/United_(Phoenix_album)","United")</f>
        <v>United</v>
      </c>
      <c r="D113" s="7">
        <v>2000</v>
      </c>
    </row>
    <row r="114" spans="1:4" ht="12.75">
      <c r="A114" s="29" t="str">
        <f>HYPERLINK("https://www.youtube.com/watch?v=qaMyr36uIv8","Entertainment")</f>
        <v>Entertainment</v>
      </c>
      <c r="B114" s="28">
        <v>133</v>
      </c>
      <c r="C114" s="29" t="str">
        <f>HYPERLINK("https://en.wikipedia.org/wiki/Bankrupt!","Bankrupt!")</f>
        <v>Bankrupt!</v>
      </c>
      <c r="D114" s="27">
        <v>2013</v>
      </c>
    </row>
    <row r="115" spans="1:4" ht="12.75">
      <c r="A115" s="9" t="str">
        <f>HYPERLINK("https://www.youtube.com/watch?v=emad0Z-yAbw","Lasso")</f>
        <v>Lasso</v>
      </c>
      <c r="B115" s="8">
        <v>125</v>
      </c>
      <c r="C115" s="9" t="str">
        <f>HYPERLINK("https://en.wikipedia.org/wiki/Wolfgang_Amadeus_Phoenix","Wolfgang Amadeus Phoenix")</f>
        <v>Wolfgang Amadeus Phoenix</v>
      </c>
      <c r="D115" s="7">
        <v>2009</v>
      </c>
    </row>
    <row r="116" spans="1:4" ht="12.75">
      <c r="A116" s="29" t="str">
        <f>HYPERLINK("https://www.youtube.com/watch?v=7lp3pgAiZqo","Trying to Be Cool")</f>
        <v>Trying to Be Cool</v>
      </c>
      <c r="B116" s="28">
        <v>114</v>
      </c>
      <c r="C116" s="29" t="str">
        <f>HYPERLINK("https://en.wikipedia.org/wiki/Bankrupt!","Bankrupt!")</f>
        <v>Bankrupt!</v>
      </c>
      <c r="D116" s="27">
        <v>2013</v>
      </c>
    </row>
    <row r="117" spans="1:4" ht="12.75">
      <c r="A117" s="9" t="str">
        <f>HYPERLINK("https://www.youtube.com/watch?v=HyU24rr0doo","Too Young ")</f>
        <v xml:space="preserve">Too Young </v>
      </c>
      <c r="B117" s="8">
        <v>106</v>
      </c>
      <c r="C117" s="9" t="str">
        <f>HYPERLINK("https://en.wikipedia.org/wiki/United_(Phoenix_album)","United")</f>
        <v>United</v>
      </c>
      <c r="D117" s="7">
        <v>2000</v>
      </c>
    </row>
    <row r="118" spans="1:4" ht="12.75">
      <c r="A118" s="29" t="str">
        <f>HYPERLINK("https://www.youtube.com/watch?v=ydbwfoFDzq8","Long Distance Call")</f>
        <v>Long Distance Call</v>
      </c>
      <c r="B118" s="28">
        <v>93</v>
      </c>
      <c r="C118" s="29" t="str">
        <f>HYPERLINK("https://en.wikipedia.org/wiki/It%27s_Never_Been_Like_That","It's Never Been Like That")</f>
        <v>It's Never Been Like That</v>
      </c>
      <c r="D118" s="27">
        <v>2006</v>
      </c>
    </row>
    <row r="119" spans="1:4" ht="12.75">
      <c r="A119" s="9" t="str">
        <f>HYPERLINK("https://www.youtube.com/watch?v=KdG1HRc8eW0","S.O.S. in Bel Air")</f>
        <v>S.O.S. in Bel Air</v>
      </c>
      <c r="B119" s="8">
        <v>86</v>
      </c>
      <c r="C119" s="9" t="str">
        <f>HYPERLINK("https://en.wikipedia.org/wiki/Bankrupt!","Bankrupt!")</f>
        <v>Bankrupt!</v>
      </c>
      <c r="D119" s="7">
        <v>2013</v>
      </c>
    </row>
    <row r="120" spans="1:4" ht="12.75">
      <c r="A120" s="31" t="str">
        <f>HYPERLINK("https://www.youtube.com/watch?v=6COg7Y6kW40","Rome")</f>
        <v>Rome</v>
      </c>
      <c r="B120" s="103">
        <v>71</v>
      </c>
      <c r="C120" s="31" t="str">
        <f>HYPERLINK("https://en.wikipedia.org/wiki/Wolfgang_Amadeus_Phoenix","Wolfgang Amadeus Phoenix")</f>
        <v>Wolfgang Amadeus Phoenix</v>
      </c>
      <c r="D120" s="24">
        <v>2009</v>
      </c>
    </row>
    <row r="121" spans="1:4" ht="12.75">
      <c r="A121" s="152"/>
      <c r="B121" s="153"/>
      <c r="C121" s="153"/>
      <c r="D121" s="154"/>
    </row>
    <row r="122" spans="1:4" ht="18">
      <c r="A122" s="22" t="s">
        <v>2809</v>
      </c>
      <c r="B122" s="30">
        <v>44047</v>
      </c>
      <c r="C122" s="24"/>
      <c r="D122" s="32" t="s">
        <v>1</v>
      </c>
    </row>
    <row r="123" spans="1:4" ht="12.75">
      <c r="A123" s="26" t="s">
        <v>2</v>
      </c>
      <c r="B123" s="26" t="s">
        <v>3</v>
      </c>
      <c r="C123" s="26" t="s">
        <v>4</v>
      </c>
      <c r="D123" s="26" t="s">
        <v>5</v>
      </c>
    </row>
    <row r="124" spans="1:4" ht="12.75">
      <c r="A124" s="7" t="s">
        <v>2810</v>
      </c>
      <c r="B124" s="8">
        <v>192</v>
      </c>
      <c r="C124" s="9" t="s">
        <v>2811</v>
      </c>
      <c r="D124" s="7">
        <v>2012</v>
      </c>
    </row>
    <row r="125" spans="1:4" ht="12.75">
      <c r="A125" s="27" t="s">
        <v>2812</v>
      </c>
      <c r="B125" s="28">
        <v>132</v>
      </c>
      <c r="C125" s="29" t="s">
        <v>2811</v>
      </c>
      <c r="D125" s="27">
        <v>2012</v>
      </c>
    </row>
    <row r="126" spans="1:4" ht="12.75">
      <c r="A126" s="7" t="s">
        <v>2813</v>
      </c>
      <c r="B126" s="8">
        <v>112</v>
      </c>
      <c r="C126" s="9" t="s">
        <v>2811</v>
      </c>
      <c r="D126" s="7">
        <v>2012</v>
      </c>
    </row>
    <row r="127" spans="1:4" ht="12.75">
      <c r="A127" s="27" t="s">
        <v>2814</v>
      </c>
      <c r="B127" s="28">
        <v>111</v>
      </c>
      <c r="C127" s="29" t="s">
        <v>2815</v>
      </c>
      <c r="D127" s="27">
        <v>2017</v>
      </c>
    </row>
    <row r="128" spans="1:4" ht="12.75">
      <c r="A128" s="7" t="s">
        <v>2816</v>
      </c>
      <c r="B128" s="8">
        <v>104</v>
      </c>
      <c r="C128" s="9" t="s">
        <v>2817</v>
      </c>
      <c r="D128" s="7">
        <v>2019</v>
      </c>
    </row>
    <row r="129" spans="1:4" ht="12.75">
      <c r="A129" s="27" t="s">
        <v>2818</v>
      </c>
      <c r="B129" s="28">
        <v>88</v>
      </c>
      <c r="C129" s="29" t="s">
        <v>2819</v>
      </c>
      <c r="D129" s="27">
        <v>2010</v>
      </c>
    </row>
    <row r="130" spans="1:4" ht="12.75">
      <c r="A130" s="7" t="s">
        <v>2820</v>
      </c>
      <c r="B130" s="8">
        <v>77</v>
      </c>
      <c r="C130" s="9" t="s">
        <v>2815</v>
      </c>
      <c r="D130" s="7">
        <v>2017</v>
      </c>
    </row>
    <row r="131" spans="1:4" ht="12.75">
      <c r="A131" s="27" t="s">
        <v>2821</v>
      </c>
      <c r="B131" s="28">
        <v>74</v>
      </c>
      <c r="C131" s="29" t="s">
        <v>2819</v>
      </c>
      <c r="D131" s="27">
        <v>2010</v>
      </c>
    </row>
    <row r="132" spans="1:4" ht="12.75">
      <c r="A132" s="7" t="s">
        <v>2822</v>
      </c>
      <c r="B132" s="8">
        <v>72</v>
      </c>
      <c r="C132" s="7"/>
      <c r="D132" s="7">
        <v>2014</v>
      </c>
    </row>
    <row r="133" spans="1:4" ht="12.75">
      <c r="A133" s="24" t="s">
        <v>2823</v>
      </c>
      <c r="B133" s="103">
        <v>66</v>
      </c>
      <c r="C133" s="31" t="s">
        <v>2819</v>
      </c>
      <c r="D133" s="24">
        <v>2010</v>
      </c>
    </row>
    <row r="134" spans="1:4" ht="12.75">
      <c r="A134" s="152"/>
      <c r="B134" s="153"/>
      <c r="C134" s="153"/>
      <c r="D134" s="154"/>
    </row>
    <row r="135" spans="1:4" ht="18">
      <c r="A135" s="22" t="s">
        <v>2824</v>
      </c>
      <c r="B135" s="30">
        <v>44257</v>
      </c>
      <c r="C135" s="24"/>
      <c r="D135" s="32" t="s">
        <v>1</v>
      </c>
    </row>
    <row r="136" spans="1:4" ht="12.75">
      <c r="A136" s="26" t="s">
        <v>2</v>
      </c>
      <c r="B136" s="26" t="s">
        <v>3</v>
      </c>
      <c r="C136" s="26" t="s">
        <v>4</v>
      </c>
      <c r="D136" s="26" t="s">
        <v>5</v>
      </c>
    </row>
    <row r="137" spans="1:4" ht="12.75">
      <c r="A137" s="7" t="s">
        <v>2825</v>
      </c>
      <c r="B137" s="8">
        <v>345</v>
      </c>
      <c r="C137" s="9" t="s">
        <v>2826</v>
      </c>
      <c r="D137" s="7">
        <v>2016</v>
      </c>
    </row>
    <row r="138" spans="1:4" ht="12.75">
      <c r="A138" s="27" t="s">
        <v>2827</v>
      </c>
      <c r="B138" s="28">
        <v>277</v>
      </c>
      <c r="C138" s="29" t="s">
        <v>2826</v>
      </c>
      <c r="D138" s="27">
        <v>2016</v>
      </c>
    </row>
    <row r="139" spans="1:4" ht="12.75">
      <c r="A139" s="7" t="s">
        <v>2828</v>
      </c>
      <c r="B139" s="8">
        <v>219</v>
      </c>
      <c r="C139" s="9" t="s">
        <v>2829</v>
      </c>
      <c r="D139" s="7">
        <v>2018</v>
      </c>
    </row>
    <row r="140" spans="1:4" ht="12.75">
      <c r="A140" s="27" t="s">
        <v>2830</v>
      </c>
      <c r="B140" s="28">
        <v>216</v>
      </c>
      <c r="C140" s="29" t="s">
        <v>2826</v>
      </c>
      <c r="D140" s="27">
        <v>2016</v>
      </c>
    </row>
    <row r="141" spans="1:4" ht="12.75">
      <c r="A141" s="7" t="s">
        <v>2831</v>
      </c>
      <c r="B141" s="8">
        <v>204</v>
      </c>
      <c r="C141" s="9" t="s">
        <v>2826</v>
      </c>
      <c r="D141" s="7">
        <v>2016</v>
      </c>
    </row>
    <row r="142" spans="1:4" ht="12.75">
      <c r="A142" s="27" t="s">
        <v>2832</v>
      </c>
      <c r="B142" s="28">
        <v>185</v>
      </c>
      <c r="C142" s="29" t="s">
        <v>2826</v>
      </c>
      <c r="D142" s="27">
        <v>2016</v>
      </c>
    </row>
    <row r="143" spans="1:4" ht="12.75">
      <c r="A143" s="7" t="s">
        <v>2833</v>
      </c>
      <c r="B143" s="8">
        <v>179</v>
      </c>
      <c r="C143" s="9" t="s">
        <v>2829</v>
      </c>
      <c r="D143" s="7">
        <v>2018</v>
      </c>
    </row>
    <row r="144" spans="1:4" ht="12.75">
      <c r="A144" s="27" t="s">
        <v>2834</v>
      </c>
      <c r="B144" s="28">
        <v>143</v>
      </c>
      <c r="C144" s="29" t="s">
        <v>2829</v>
      </c>
      <c r="D144" s="27">
        <v>2018</v>
      </c>
    </row>
    <row r="145" spans="1:4" ht="12.75">
      <c r="A145" s="7" t="s">
        <v>2835</v>
      </c>
      <c r="B145" s="8">
        <v>127</v>
      </c>
      <c r="C145" s="9" t="s">
        <v>2836</v>
      </c>
      <c r="D145" s="7">
        <v>2020</v>
      </c>
    </row>
    <row r="146" spans="1:4" ht="12.75">
      <c r="A146" s="27" t="s">
        <v>2837</v>
      </c>
      <c r="B146" s="28">
        <v>101</v>
      </c>
      <c r="C146" s="29" t="s">
        <v>2838</v>
      </c>
      <c r="D146" s="27">
        <v>2012</v>
      </c>
    </row>
    <row r="147" spans="1:4" ht="12.75">
      <c r="A147" s="152"/>
      <c r="B147" s="153"/>
      <c r="C147" s="153"/>
      <c r="D147" s="154"/>
    </row>
    <row r="148" spans="1:4" ht="18">
      <c r="A148" s="41" t="s">
        <v>2839</v>
      </c>
      <c r="B148" s="43">
        <v>44980</v>
      </c>
      <c r="C148" s="24"/>
      <c r="D148" s="24"/>
    </row>
    <row r="149" spans="1:4" ht="12.75">
      <c r="A149" s="26" t="s">
        <v>2</v>
      </c>
      <c r="B149" s="26" t="s">
        <v>3</v>
      </c>
      <c r="C149" s="26" t="s">
        <v>4</v>
      </c>
      <c r="D149" s="26" t="s">
        <v>5</v>
      </c>
    </row>
    <row r="150" spans="1:4" ht="12.75">
      <c r="A150" s="7" t="s">
        <v>2840</v>
      </c>
      <c r="B150" s="8">
        <v>272</v>
      </c>
      <c r="C150" s="19" t="s">
        <v>1734</v>
      </c>
      <c r="D150" s="7">
        <v>1975</v>
      </c>
    </row>
    <row r="151" spans="1:4" ht="12.75">
      <c r="A151" s="27" t="s">
        <v>1734</v>
      </c>
      <c r="B151" s="28">
        <v>204</v>
      </c>
      <c r="C151" s="35" t="s">
        <v>1734</v>
      </c>
      <c r="D151" s="27">
        <v>1975</v>
      </c>
    </row>
    <row r="152" spans="1:4" ht="12.75">
      <c r="A152" s="7" t="s">
        <v>2841</v>
      </c>
      <c r="B152" s="8">
        <v>184</v>
      </c>
      <c r="C152" s="19" t="s">
        <v>2842</v>
      </c>
      <c r="D152" s="7">
        <v>1973</v>
      </c>
    </row>
    <row r="153" spans="1:4" ht="12.75">
      <c r="A153" s="27" t="s">
        <v>2843</v>
      </c>
      <c r="B153" s="28">
        <v>172</v>
      </c>
      <c r="C153" s="35" t="s">
        <v>2844</v>
      </c>
      <c r="D153" s="27">
        <v>1971</v>
      </c>
    </row>
    <row r="154" spans="1:4" ht="12.75">
      <c r="A154" s="7" t="s">
        <v>2845</v>
      </c>
      <c r="B154" s="8">
        <v>170</v>
      </c>
      <c r="C154" s="19" t="s">
        <v>2846</v>
      </c>
      <c r="D154" s="7">
        <v>1979</v>
      </c>
    </row>
    <row r="155" spans="1:4" ht="12.75">
      <c r="A155" s="27" t="s">
        <v>2847</v>
      </c>
      <c r="B155" s="28">
        <v>166</v>
      </c>
      <c r="C155" s="35" t="s">
        <v>2842</v>
      </c>
      <c r="D155" s="27">
        <v>1973</v>
      </c>
    </row>
    <row r="156" spans="1:4" ht="12.75">
      <c r="A156" s="7" t="s">
        <v>2848</v>
      </c>
      <c r="B156" s="8">
        <v>161</v>
      </c>
      <c r="C156" s="19" t="s">
        <v>1734</v>
      </c>
      <c r="D156" s="7">
        <v>1975</v>
      </c>
    </row>
    <row r="157" spans="1:4" ht="12.75">
      <c r="A157" s="27" t="s">
        <v>2849</v>
      </c>
      <c r="B157" s="28">
        <v>159</v>
      </c>
      <c r="C157" s="35" t="s">
        <v>2850</v>
      </c>
      <c r="D157" s="27">
        <v>1977</v>
      </c>
    </row>
    <row r="158" spans="1:4" ht="12.75">
      <c r="A158" s="7" t="s">
        <v>2851</v>
      </c>
      <c r="B158" s="8">
        <v>80</v>
      </c>
      <c r="C158" s="19" t="s">
        <v>2842</v>
      </c>
      <c r="D158" s="7">
        <v>1973</v>
      </c>
    </row>
    <row r="159" spans="1:4" ht="12.75">
      <c r="A159" s="10" t="s">
        <v>2852</v>
      </c>
      <c r="B159" s="11">
        <v>77</v>
      </c>
      <c r="C159" s="20" t="s">
        <v>2842</v>
      </c>
      <c r="D159" s="10">
        <v>1973</v>
      </c>
    </row>
    <row r="160" spans="1:4" ht="12.75">
      <c r="A160" s="152"/>
      <c r="B160" s="153"/>
      <c r="C160" s="153"/>
      <c r="D160" s="154"/>
    </row>
    <row r="161" spans="1:4" ht="18">
      <c r="A161" s="22" t="str">
        <f>HYPERLINK("https://www.reddit.com/r/indieheads/comments/5xzxgc/top_ten_tuesday_pixies/","Pixies")</f>
        <v>Pixies</v>
      </c>
      <c r="B161" s="23">
        <v>42052</v>
      </c>
      <c r="C161" s="24"/>
      <c r="D161" s="24"/>
    </row>
    <row r="162" spans="1:4" ht="12.75">
      <c r="A162" s="26" t="s">
        <v>2</v>
      </c>
      <c r="B162" s="26" t="s">
        <v>3</v>
      </c>
      <c r="C162" s="26" t="s">
        <v>4</v>
      </c>
      <c r="D162" s="26" t="s">
        <v>5</v>
      </c>
    </row>
    <row r="163" spans="1:4" ht="12.75">
      <c r="A163" s="7" t="s">
        <v>2853</v>
      </c>
      <c r="B163" s="8">
        <v>378</v>
      </c>
      <c r="C163" s="9" t="str">
        <f t="shared" ref="C163:C164" si="8">HYPERLINK("http://en.wikipedia.org/wiki/Doolittle_(album)","Doolittle")</f>
        <v>Doolittle</v>
      </c>
      <c r="D163" s="7">
        <v>1989</v>
      </c>
    </row>
    <row r="164" spans="1:4" ht="12.75">
      <c r="A164" s="27" t="s">
        <v>2854</v>
      </c>
      <c r="B164" s="28">
        <v>339</v>
      </c>
      <c r="C164" s="29" t="str">
        <f t="shared" si="8"/>
        <v>Doolittle</v>
      </c>
      <c r="D164" s="27">
        <v>1989</v>
      </c>
    </row>
    <row r="165" spans="1:4" ht="12.75">
      <c r="A165" s="7" t="s">
        <v>2855</v>
      </c>
      <c r="B165" s="8">
        <v>269</v>
      </c>
      <c r="C165" s="9" t="str">
        <f>HYPERLINK("http://en.wikipedia.org/wiki/Surfer_Rosa","Surfer Rosa")</f>
        <v>Surfer Rosa</v>
      </c>
      <c r="D165" s="7">
        <v>1988</v>
      </c>
    </row>
    <row r="166" spans="1:4" ht="12.75">
      <c r="A166" s="10" t="s">
        <v>2856</v>
      </c>
      <c r="B166" s="11">
        <v>252</v>
      </c>
      <c r="C166" s="12" t="str">
        <f t="shared" ref="C166:C167" si="9">HYPERLINK("http://en.wikipedia.org/wiki/Doolittle_(album)","Doolittle")</f>
        <v>Doolittle</v>
      </c>
      <c r="D166" s="10">
        <v>1989</v>
      </c>
    </row>
    <row r="167" spans="1:4" ht="12.75">
      <c r="A167" s="7" t="s">
        <v>2857</v>
      </c>
      <c r="B167" s="8">
        <v>206</v>
      </c>
      <c r="C167" s="9" t="str">
        <f t="shared" si="9"/>
        <v>Doolittle</v>
      </c>
      <c r="D167" s="7">
        <v>1989</v>
      </c>
    </row>
    <row r="168" spans="1:4" ht="12.75">
      <c r="A168" s="27" t="s">
        <v>2858</v>
      </c>
      <c r="B168" s="28">
        <v>194</v>
      </c>
      <c r="C168" s="29" t="str">
        <f t="shared" ref="C168:C169" si="10">HYPERLINK("http://en.wikipedia.org/wiki/Surfer_Rosa","Surfer Rosa")</f>
        <v>Surfer Rosa</v>
      </c>
      <c r="D168" s="27">
        <v>1988</v>
      </c>
    </row>
    <row r="169" spans="1:4" ht="12.75">
      <c r="A169" s="7" t="s">
        <v>2859</v>
      </c>
      <c r="B169" s="8">
        <v>175</v>
      </c>
      <c r="C169" s="9" t="str">
        <f t="shared" si="10"/>
        <v>Surfer Rosa</v>
      </c>
      <c r="D169" s="7">
        <v>1988</v>
      </c>
    </row>
    <row r="170" spans="1:4" ht="12.75">
      <c r="A170" s="27" t="s">
        <v>2860</v>
      </c>
      <c r="B170" s="28">
        <v>175</v>
      </c>
      <c r="C170" s="29" t="str">
        <f t="shared" ref="C170:C171" si="11">HYPERLINK("http://en.wikipedia.org/wiki/Doolittle_(album)","Doolittle")</f>
        <v>Doolittle</v>
      </c>
      <c r="D170" s="27">
        <v>1989</v>
      </c>
    </row>
    <row r="171" spans="1:4" ht="12.75">
      <c r="A171" s="7" t="s">
        <v>2861</v>
      </c>
      <c r="B171" s="8">
        <v>157</v>
      </c>
      <c r="C171" s="9" t="str">
        <f t="shared" si="11"/>
        <v>Doolittle</v>
      </c>
      <c r="D171" s="7">
        <v>1989</v>
      </c>
    </row>
    <row r="172" spans="1:4" ht="12.75">
      <c r="A172" s="10" t="s">
        <v>2862</v>
      </c>
      <c r="B172" s="11">
        <v>106</v>
      </c>
      <c r="C172" s="12" t="str">
        <f>HYPERLINK("https://en.wikipedia.org/wiki/Doolittle_(album)","Doolittle")</f>
        <v>Doolittle</v>
      </c>
      <c r="D172" s="10">
        <v>1989</v>
      </c>
    </row>
    <row r="173" spans="1:4" ht="12.75">
      <c r="A173" s="152"/>
      <c r="B173" s="153"/>
      <c r="C173" s="153"/>
      <c r="D173" s="154"/>
    </row>
    <row r="174" spans="1:4" ht="18">
      <c r="A174" s="22" t="str">
        <f>HYPERLINK("https://www.reddit.com/r/indieheads/comments/59aads/top_ten_tuesday_pj_harvey/","PJ Harvey")</f>
        <v>PJ Harvey</v>
      </c>
      <c r="B174" s="106">
        <v>42668</v>
      </c>
      <c r="C174" s="24"/>
      <c r="D174" s="24"/>
    </row>
    <row r="175" spans="1:4" ht="12.75">
      <c r="A175" s="26" t="s">
        <v>2</v>
      </c>
      <c r="B175" s="26" t="s">
        <v>3</v>
      </c>
      <c r="C175" s="26" t="s">
        <v>4</v>
      </c>
      <c r="D175" s="26" t="s">
        <v>5</v>
      </c>
    </row>
    <row r="176" spans="1:4" ht="12.75">
      <c r="A176" s="7" t="s">
        <v>2863</v>
      </c>
      <c r="B176" s="8">
        <v>113</v>
      </c>
      <c r="C176" s="9" t="str">
        <f>HYPERLINK("https://en.wikipedia.org/wiki/Rid_of_Me","Rid of Me")</f>
        <v>Rid of Me</v>
      </c>
      <c r="D176" s="7">
        <v>1993</v>
      </c>
    </row>
    <row r="177" spans="1:4" ht="12.75">
      <c r="A177" s="27" t="s">
        <v>2864</v>
      </c>
      <c r="B177" s="28">
        <v>102</v>
      </c>
      <c r="C177" s="29" t="str">
        <f t="shared" ref="C177:C178" si="12">HYPERLINK("https://en.wikipedia.org/wiki/To_Bring_You_My_Love","To Bring You My Love")</f>
        <v>To Bring You My Love</v>
      </c>
      <c r="D177" s="27">
        <v>1995</v>
      </c>
    </row>
    <row r="178" spans="1:4" ht="12.75">
      <c r="A178" s="7" t="s">
        <v>2865</v>
      </c>
      <c r="B178" s="8">
        <v>86</v>
      </c>
      <c r="C178" s="9" t="str">
        <f t="shared" si="12"/>
        <v>To Bring You My Love</v>
      </c>
      <c r="D178" s="7">
        <v>1995</v>
      </c>
    </row>
    <row r="179" spans="1:4" ht="12.75">
      <c r="A179" s="27" t="s">
        <v>2866</v>
      </c>
      <c r="B179" s="28">
        <v>68</v>
      </c>
      <c r="C179" s="29" t="str">
        <f>HYPERLINK("https://en.wikipedia.org/wiki/Dry_(album)","Dry")</f>
        <v>Dry</v>
      </c>
      <c r="D179" s="27">
        <v>1991</v>
      </c>
    </row>
    <row r="180" spans="1:4" ht="12.75">
      <c r="A180" s="7" t="s">
        <v>2867</v>
      </c>
      <c r="B180" s="8">
        <v>52</v>
      </c>
      <c r="C180" s="9" t="str">
        <f>HYPERLINK("https://en.wikipedia.org/wiki/Let_England_Shake","Let England Shake")</f>
        <v>Let England Shake</v>
      </c>
      <c r="D180" s="7">
        <v>2011</v>
      </c>
    </row>
    <row r="181" spans="1:4" ht="12.75">
      <c r="A181" s="27" t="s">
        <v>2868</v>
      </c>
      <c r="B181" s="28">
        <v>49</v>
      </c>
      <c r="C181" s="29" t="str">
        <f>HYPERLINK("https://en.wikipedia.org/wiki/To_Bring_You_My_Love","To Bring You My Love")</f>
        <v>To Bring You My Love</v>
      </c>
      <c r="D181" s="27">
        <v>1995</v>
      </c>
    </row>
    <row r="182" spans="1:4" ht="12.75">
      <c r="A182" s="7" t="s">
        <v>2869</v>
      </c>
      <c r="B182" s="8">
        <v>47</v>
      </c>
      <c r="C182" s="9" t="str">
        <f>HYPERLINK("https://en.wikipedia.org/wiki/Stories_from_the_City,_Stories_from_the_Sea","Stories from the City, Stories from the Sea")</f>
        <v>Stories from the City, Stories from the Sea</v>
      </c>
      <c r="D182" s="7">
        <v>2000</v>
      </c>
    </row>
    <row r="183" spans="1:4" ht="12.75">
      <c r="A183" s="27" t="s">
        <v>2870</v>
      </c>
      <c r="B183" s="28">
        <v>46</v>
      </c>
      <c r="C183" s="29" t="str">
        <f>HYPERLINK("https://en.wikipedia.org/wiki/Let_England_Shake","Let England Shake")</f>
        <v>Let England Shake</v>
      </c>
      <c r="D183" s="27">
        <v>2011</v>
      </c>
    </row>
    <row r="184" spans="1:4" ht="12.75">
      <c r="A184" s="7" t="s">
        <v>2871</v>
      </c>
      <c r="B184" s="8">
        <v>42</v>
      </c>
      <c r="C184" s="9" t="str">
        <f>HYPERLINK("https://en.wikipedia.org/wiki/Rid_of_Me","Rid of Me")</f>
        <v>Rid of Me</v>
      </c>
      <c r="D184" s="7">
        <v>1993</v>
      </c>
    </row>
    <row r="185" spans="1:4" ht="12.75">
      <c r="A185" s="27" t="s">
        <v>2872</v>
      </c>
      <c r="B185" s="28">
        <v>41</v>
      </c>
      <c r="C185" s="29" t="str">
        <f>HYPERLINK("https://en.wikipedia.org/wiki/Stories_from_the_City,_Stories_from_the_Sea","Stories from the City, Stories from the Sea")</f>
        <v>Stories from the City, Stories from the Sea</v>
      </c>
      <c r="D185" s="27">
        <v>2000</v>
      </c>
    </row>
    <row r="186" spans="1:4" ht="12.75">
      <c r="A186" s="155"/>
      <c r="B186" s="156"/>
      <c r="C186" s="156"/>
      <c r="D186" s="156"/>
    </row>
    <row r="187" spans="1:4" ht="18">
      <c r="A187" s="13" t="s">
        <v>2873</v>
      </c>
      <c r="B187" s="47">
        <v>44985</v>
      </c>
      <c r="C187" s="15"/>
      <c r="D187" s="15"/>
    </row>
    <row r="188" spans="1:4" ht="12.75">
      <c r="A188" s="15" t="s">
        <v>2</v>
      </c>
      <c r="B188" s="15" t="s">
        <v>3</v>
      </c>
      <c r="C188" s="15" t="s">
        <v>4</v>
      </c>
      <c r="D188" s="15" t="s">
        <v>5</v>
      </c>
    </row>
    <row r="189" spans="1:4" ht="12.75">
      <c r="A189" s="16" t="s">
        <v>2874</v>
      </c>
      <c r="B189" s="16">
        <v>105</v>
      </c>
      <c r="C189" s="16" t="s">
        <v>2875</v>
      </c>
      <c r="D189" s="16">
        <v>1998</v>
      </c>
    </row>
    <row r="190" spans="1:4" ht="12.75">
      <c r="A190" s="17" t="s">
        <v>2876</v>
      </c>
      <c r="B190" s="17">
        <v>91</v>
      </c>
      <c r="C190" s="17" t="s">
        <v>2877</v>
      </c>
      <c r="D190" s="17">
        <v>2003</v>
      </c>
    </row>
    <row r="191" spans="1:4" ht="12.75">
      <c r="A191" s="16" t="s">
        <v>2878</v>
      </c>
      <c r="B191" s="16">
        <v>77</v>
      </c>
      <c r="C191" s="16" t="s">
        <v>2873</v>
      </c>
      <c r="D191" s="16">
        <v>1996</v>
      </c>
    </row>
    <row r="192" spans="1:4" ht="12.75">
      <c r="A192" s="17" t="s">
        <v>2879</v>
      </c>
      <c r="B192" s="17">
        <v>74</v>
      </c>
      <c r="C192" s="17" t="s">
        <v>2880</v>
      </c>
      <c r="D192" s="17">
        <v>2006</v>
      </c>
    </row>
    <row r="193" spans="1:4" ht="12.75">
      <c r="A193" s="16" t="s">
        <v>2881</v>
      </c>
      <c r="B193" s="16">
        <v>69</v>
      </c>
      <c r="C193" s="16" t="s">
        <v>2877</v>
      </c>
      <c r="D193" s="16">
        <v>2003</v>
      </c>
    </row>
    <row r="194" spans="1:4" ht="12.75">
      <c r="A194" s="17" t="s">
        <v>2880</v>
      </c>
      <c r="B194" s="17">
        <v>68</v>
      </c>
      <c r="C194" s="17" t="s">
        <v>2880</v>
      </c>
      <c r="D194" s="17">
        <v>2006</v>
      </c>
    </row>
    <row r="195" spans="1:4" ht="12.75">
      <c r="A195" s="16" t="s">
        <v>2882</v>
      </c>
      <c r="B195" s="16">
        <v>64</v>
      </c>
      <c r="C195" s="16" t="s">
        <v>2875</v>
      </c>
      <c r="D195" s="16">
        <v>1998</v>
      </c>
    </row>
    <row r="196" spans="1:4" ht="12.75">
      <c r="A196" s="17" t="s">
        <v>2883</v>
      </c>
      <c r="B196" s="17">
        <v>60</v>
      </c>
      <c r="C196" s="17" t="s">
        <v>2884</v>
      </c>
      <c r="D196" s="17">
        <v>2000</v>
      </c>
    </row>
    <row r="197" spans="1:4" ht="12.75">
      <c r="A197" s="16" t="s">
        <v>2875</v>
      </c>
      <c r="B197" s="16">
        <v>44</v>
      </c>
      <c r="C197" s="16" t="s">
        <v>2875</v>
      </c>
      <c r="D197" s="16">
        <v>1998</v>
      </c>
    </row>
    <row r="198" spans="1:4" ht="12.75">
      <c r="A198" s="17" t="s">
        <v>2885</v>
      </c>
      <c r="B198" s="17">
        <v>34</v>
      </c>
      <c r="C198" s="17" t="s">
        <v>2880</v>
      </c>
      <c r="D198" s="17">
        <v>2006</v>
      </c>
    </row>
    <row r="199" spans="1:4" ht="12.75">
      <c r="A199" s="107" t="s">
        <v>2886</v>
      </c>
      <c r="B199" s="107">
        <v>34</v>
      </c>
      <c r="C199" s="107" t="s">
        <v>2884</v>
      </c>
      <c r="D199" s="107">
        <v>2000</v>
      </c>
    </row>
    <row r="200" spans="1:4" ht="12.75">
      <c r="A200" s="152"/>
      <c r="B200" s="153"/>
      <c r="C200" s="153"/>
      <c r="D200" s="154"/>
    </row>
    <row r="201" spans="1:4" ht="18">
      <c r="A201" s="22" t="s">
        <v>2887</v>
      </c>
      <c r="B201" s="30">
        <v>44215</v>
      </c>
      <c r="C201" s="24"/>
      <c r="D201" s="32" t="s">
        <v>1</v>
      </c>
    </row>
    <row r="202" spans="1:4" ht="12.75">
      <c r="A202" s="26" t="s">
        <v>2</v>
      </c>
      <c r="B202" s="26" t="s">
        <v>3</v>
      </c>
      <c r="C202" s="26" t="s">
        <v>4</v>
      </c>
      <c r="D202" s="26" t="s">
        <v>5</v>
      </c>
    </row>
    <row r="203" spans="1:4" ht="12.75">
      <c r="A203" s="7" t="s">
        <v>2888</v>
      </c>
      <c r="B203" s="8">
        <v>151</v>
      </c>
      <c r="C203" s="9" t="s">
        <v>2888</v>
      </c>
      <c r="D203" s="7">
        <v>2015</v>
      </c>
    </row>
    <row r="204" spans="1:4" ht="12.75">
      <c r="A204" s="27" t="s">
        <v>2889</v>
      </c>
      <c r="B204" s="28">
        <v>116</v>
      </c>
      <c r="C204" s="29" t="s">
        <v>2890</v>
      </c>
      <c r="D204" s="27">
        <v>2017</v>
      </c>
    </row>
    <row r="205" spans="1:4" ht="12.75">
      <c r="A205" s="7" t="s">
        <v>2891</v>
      </c>
      <c r="B205" s="8">
        <v>102</v>
      </c>
      <c r="C205" s="9" t="s">
        <v>2892</v>
      </c>
      <c r="D205" s="7">
        <v>2019</v>
      </c>
    </row>
    <row r="206" spans="1:4" ht="12.75">
      <c r="A206" s="27" t="s">
        <v>2893</v>
      </c>
      <c r="B206" s="28">
        <v>95</v>
      </c>
      <c r="C206" s="29" t="s">
        <v>2888</v>
      </c>
      <c r="D206" s="27">
        <v>2015</v>
      </c>
    </row>
    <row r="207" spans="1:4" ht="12.75">
      <c r="A207" s="7" t="s">
        <v>2890</v>
      </c>
      <c r="B207" s="8">
        <v>74</v>
      </c>
      <c r="C207" s="9" t="s">
        <v>2890</v>
      </c>
      <c r="D207" s="7">
        <v>2017</v>
      </c>
    </row>
    <row r="208" spans="1:4" ht="12.75">
      <c r="A208" s="27" t="s">
        <v>2894</v>
      </c>
      <c r="B208" s="28">
        <v>72</v>
      </c>
      <c r="C208" s="29" t="s">
        <v>2890</v>
      </c>
      <c r="D208" s="27">
        <v>2016</v>
      </c>
    </row>
    <row r="209" spans="1:4" ht="12.75">
      <c r="A209" s="7" t="s">
        <v>2895</v>
      </c>
      <c r="B209" s="8">
        <v>71</v>
      </c>
      <c r="C209" s="9" t="s">
        <v>2888</v>
      </c>
      <c r="D209" s="7">
        <v>2015</v>
      </c>
    </row>
    <row r="210" spans="1:4" ht="12.75">
      <c r="A210" s="27" t="s">
        <v>2896</v>
      </c>
      <c r="B210" s="28">
        <v>68</v>
      </c>
      <c r="C210" s="29" t="s">
        <v>2888</v>
      </c>
      <c r="D210" s="27">
        <v>2014</v>
      </c>
    </row>
    <row r="211" spans="1:4" ht="12.75">
      <c r="A211" s="7" t="s">
        <v>2897</v>
      </c>
      <c r="B211" s="8">
        <v>67</v>
      </c>
      <c r="C211" s="9" t="s">
        <v>2898</v>
      </c>
      <c r="D211" s="7">
        <v>2012</v>
      </c>
    </row>
    <row r="212" spans="1:4" ht="12.75">
      <c r="A212" s="27" t="s">
        <v>2899</v>
      </c>
      <c r="B212" s="28">
        <v>60</v>
      </c>
      <c r="C212" s="29" t="s">
        <v>2900</v>
      </c>
      <c r="D212" s="27">
        <v>2013</v>
      </c>
    </row>
    <row r="213" spans="1:4" ht="12.75">
      <c r="A213" s="152"/>
      <c r="B213" s="153"/>
      <c r="C213" s="153"/>
      <c r="D213" s="154"/>
    </row>
    <row r="214" spans="1:4" ht="18">
      <c r="A214" s="22" t="str">
        <f>HYPERLINK("https://www.reddit.com/r/indieheads/comments/4bj2aw/top_ten_tuesday_portishead/","Portishead")</f>
        <v>Portishead</v>
      </c>
      <c r="B214" s="23">
        <v>42451</v>
      </c>
      <c r="C214" s="24"/>
      <c r="D214" s="24"/>
    </row>
    <row r="215" spans="1:4" ht="12.75">
      <c r="A215" s="26" t="s">
        <v>2</v>
      </c>
      <c r="B215" s="26" t="s">
        <v>3</v>
      </c>
      <c r="C215" s="26" t="s">
        <v>4</v>
      </c>
      <c r="D215" s="26" t="s">
        <v>5</v>
      </c>
    </row>
    <row r="216" spans="1:4" ht="12.75">
      <c r="A216" s="9" t="str">
        <f>HYPERLINK("https://www.youtube.com/watch?v=uAKYpsTGeCM","The Rip")</f>
        <v>The Rip</v>
      </c>
      <c r="B216" s="8">
        <v>122</v>
      </c>
      <c r="C216" s="9" t="str">
        <f>HYPERLINK("https://en.wikipedia.org/wiki/Third_(Portishead_album)","Third")</f>
        <v>Third</v>
      </c>
      <c r="D216" s="7">
        <v>2008</v>
      </c>
    </row>
    <row r="217" spans="1:4" ht="12.75">
      <c r="A217" s="29" t="str">
        <f>HYPERLINK("https://www.youtube.com/watch?v=a7s5Uthx7WY","Glory Box")</f>
        <v>Glory Box</v>
      </c>
      <c r="B217" s="28">
        <v>121</v>
      </c>
      <c r="C217" s="29" t="str">
        <f t="shared" ref="C217:C219" si="13">HYPERLINK("https://en.wikipedia.org/wiki/Dummy_(album)","Dummy")</f>
        <v>Dummy</v>
      </c>
      <c r="D217" s="27">
        <v>1994</v>
      </c>
    </row>
    <row r="218" spans="1:4" ht="12.75">
      <c r="A218" s="9" t="str">
        <f>HYPERLINK("https://www.youtube.com/watch?v=WQYsGWh_vpE","Roads")</f>
        <v>Roads</v>
      </c>
      <c r="B218" s="8">
        <v>97</v>
      </c>
      <c r="C218" s="9" t="str">
        <f t="shared" si="13"/>
        <v>Dummy</v>
      </c>
      <c r="D218" s="7">
        <v>1994</v>
      </c>
    </row>
    <row r="219" spans="1:4" ht="12.75">
      <c r="A219" s="29" t="str">
        <f>HYPERLINK("https://www.youtube.com/watch?v=pJqem6ek4CI","Mysterons")</f>
        <v>Mysterons</v>
      </c>
      <c r="B219" s="28">
        <v>83</v>
      </c>
      <c r="C219" s="29" t="str">
        <f t="shared" si="13"/>
        <v>Dummy</v>
      </c>
      <c r="D219" s="27">
        <v>1994</v>
      </c>
    </row>
    <row r="220" spans="1:4" ht="12.75">
      <c r="A220" s="9" t="str">
        <f>HYPERLINK("https://www.youtube.com/watch?v=sc-pHFzDkpU","Machine Gun")</f>
        <v>Machine Gun</v>
      </c>
      <c r="B220" s="8">
        <v>65</v>
      </c>
      <c r="C220" s="9" t="str">
        <f>HYPERLINK("https://en.wikipedia.org/wiki/Third_(Portishead_album)","Third")</f>
        <v>Third</v>
      </c>
      <c r="D220" s="7">
        <v>2008</v>
      </c>
    </row>
    <row r="221" spans="1:4" ht="12.75">
      <c r="A221" s="29" t="str">
        <f>HYPERLINK("https://www.youtube.com/watch?v=gEQNAZGoZrw","Wandering Star")</f>
        <v>Wandering Star</v>
      </c>
      <c r="B221" s="28">
        <v>57</v>
      </c>
      <c r="C221" s="29" t="str">
        <f t="shared" ref="C221:C223" si="14">HYPERLINK("https://en.wikipedia.org/wiki/Dummy_(album)","Dummy")</f>
        <v>Dummy</v>
      </c>
      <c r="D221" s="27">
        <v>1994</v>
      </c>
    </row>
    <row r="222" spans="1:4" ht="12.75">
      <c r="A222" s="9" t="str">
        <f>HYPERLINK("https://www.youtube.com/watch?v=B4TxEsRxltg","Strangers")</f>
        <v>Strangers</v>
      </c>
      <c r="B222" s="8">
        <v>54</v>
      </c>
      <c r="C222" s="9" t="str">
        <f t="shared" si="14"/>
        <v>Dummy</v>
      </c>
      <c r="D222" s="7">
        <v>1994</v>
      </c>
    </row>
    <row r="223" spans="1:4" ht="12.75">
      <c r="A223" s="29" t="str">
        <f>HYPERLINK("https://www.youtube.com/watch?v=g7gutsi1uT4","Sour Times")</f>
        <v>Sour Times</v>
      </c>
      <c r="B223" s="28">
        <v>49</v>
      </c>
      <c r="C223" s="29" t="str">
        <f t="shared" si="14"/>
        <v>Dummy</v>
      </c>
      <c r="D223" s="27">
        <v>1994</v>
      </c>
    </row>
    <row r="224" spans="1:4" ht="12.75">
      <c r="A224" s="9" t="str">
        <f>HYPERLINK("https://www.youtube.com/watch?v=75ChefqGil0","All Mine")</f>
        <v>All Mine</v>
      </c>
      <c r="B224" s="8">
        <v>46</v>
      </c>
      <c r="C224" s="9" t="str">
        <f>HYPERLINK("https://en.wikipedia.org/wiki/Portishead_(album)","Portishead")</f>
        <v>Portishead</v>
      </c>
      <c r="D224" s="7">
        <v>1997</v>
      </c>
    </row>
    <row r="225" spans="1:4" ht="12.75">
      <c r="A225" s="29" t="str">
        <f>HYPERLINK("https://www.youtube.com/watch?v=-g1uDHcorkE","It Could Be Sweet")</f>
        <v>It Could Be Sweet</v>
      </c>
      <c r="B225" s="28">
        <v>43</v>
      </c>
      <c r="C225" s="29" t="str">
        <f>HYPERLINK("https://en.wikipedia.org/wiki/Dummy_(album)","Dummy")</f>
        <v>Dummy</v>
      </c>
      <c r="D225" s="27">
        <v>1994</v>
      </c>
    </row>
    <row r="226" spans="1:4" ht="12.75">
      <c r="A226" s="152"/>
      <c r="B226" s="153"/>
      <c r="C226" s="153"/>
      <c r="D226" s="154"/>
    </row>
    <row r="227" spans="1:4" ht="18">
      <c r="A227" s="22" t="str">
        <f>HYPERLINK("https://www.reddit.com/r/indieheads/comments/4egxsb/top_ten_tuesday_portugal_the_man/","Portugal. The Man")</f>
        <v>Portugal. The Man</v>
      </c>
      <c r="B227" s="23">
        <v>42472</v>
      </c>
      <c r="C227" s="24"/>
      <c r="D227" s="24"/>
    </row>
    <row r="228" spans="1:4" ht="12.75">
      <c r="A228" s="26" t="s">
        <v>2</v>
      </c>
      <c r="B228" s="26" t="s">
        <v>3</v>
      </c>
      <c r="C228" s="26" t="s">
        <v>4</v>
      </c>
      <c r="D228" s="26" t="s">
        <v>5</v>
      </c>
    </row>
    <row r="229" spans="1:4" ht="12.75">
      <c r="A229" s="9" t="str">
        <f>HYPERLINK("https://www.youtube.com/watch?v=ma-PoRLzNN8","Sleep Forever")</f>
        <v>Sleep Forever</v>
      </c>
      <c r="B229" s="8">
        <v>144</v>
      </c>
      <c r="C229" s="9" t="str">
        <f t="shared" ref="C229:C230" si="15">HYPERLINK("https://en.wikipedia.org/wiki/In_the_Mountain_in_the_Cloud","In the Mountain in the Cloud")</f>
        <v>In the Mountain in the Cloud</v>
      </c>
      <c r="D229" s="7">
        <v>2011</v>
      </c>
    </row>
    <row r="230" spans="1:4" ht="12.75">
      <c r="A230" s="29" t="str">
        <f>HYPERLINK("https://www.youtube.com/watch?v=q7W6Nb-sW34","So American")</f>
        <v>So American</v>
      </c>
      <c r="B230" s="28">
        <v>102</v>
      </c>
      <c r="C230" s="29" t="str">
        <f t="shared" si="15"/>
        <v>In the Mountain in the Cloud</v>
      </c>
      <c r="D230" s="27">
        <v>2011</v>
      </c>
    </row>
    <row r="231" spans="1:4" ht="12.75">
      <c r="A231" s="9" t="str">
        <f>HYPERLINK("https://www.youtube.com/watch?v=vlzUdvNiqtk","Lay Me Back Down")</f>
        <v>Lay Me Back Down</v>
      </c>
      <c r="B231" s="8">
        <v>65</v>
      </c>
      <c r="C231" s="9" t="str">
        <f>HYPERLINK("https://en.wikipedia.org/wiki/Censored_Colors","Censored Colors")</f>
        <v>Censored Colors</v>
      </c>
      <c r="D231" s="7">
        <v>2008</v>
      </c>
    </row>
    <row r="232" spans="1:4" ht="12.75">
      <c r="A232" s="29" t="str">
        <f>HYPERLINK("https://www.youtube.com/watch?v=A0B0JZPp_qw","People Say")</f>
        <v>People Say</v>
      </c>
      <c r="B232" s="28">
        <v>55</v>
      </c>
      <c r="C232" s="29" t="str">
        <f>HYPERLINK("https://en.wikipedia.org/wiki/The_Satanic_Satanist","The Satanic Satanist")</f>
        <v>The Satanic Satanist</v>
      </c>
      <c r="D232" s="27">
        <v>2009</v>
      </c>
    </row>
    <row r="233" spans="1:4" ht="12.75">
      <c r="A233" s="9" t="str">
        <f>HYPERLINK("https://www.youtube.com/watch?v=daB9QRwVQH4","Creep in a T-Shirt")</f>
        <v>Creep in a T-Shirt</v>
      </c>
      <c r="B233" s="8">
        <v>49</v>
      </c>
      <c r="C233" s="9" t="str">
        <f t="shared" ref="C233:C234" si="16">HYPERLINK("https://en.wikipedia.org/wiki/Evil_Friends","Evil Friends")</f>
        <v>Evil Friends</v>
      </c>
      <c r="D233" s="7">
        <v>2013</v>
      </c>
    </row>
    <row r="234" spans="1:4" ht="12.75">
      <c r="A234" s="29" t="str">
        <f>HYPERLINK("https://www.youtube.com/watch?v=fSVwJyxeVYI","Modern Jesus")</f>
        <v>Modern Jesus</v>
      </c>
      <c r="B234" s="28">
        <v>47</v>
      </c>
      <c r="C234" s="29" t="str">
        <f t="shared" si="16"/>
        <v>Evil Friends</v>
      </c>
      <c r="D234" s="27">
        <v>2013</v>
      </c>
    </row>
    <row r="235" spans="1:4" ht="12.75">
      <c r="A235" s="9" t="str">
        <f>HYPERLINK("https://www.youtube.com/watch?v=jrhOh43whxA","The Sun")</f>
        <v>The Sun</v>
      </c>
      <c r="B235" s="8">
        <v>47</v>
      </c>
      <c r="C235" s="9" t="str">
        <f>HYPERLINK("https://en.wikipedia.org/wiki/The_Satanic_Satanist","The Satanic Satanist")</f>
        <v>The Satanic Satanist</v>
      </c>
      <c r="D235" s="7">
        <v>2009</v>
      </c>
    </row>
    <row r="236" spans="1:4" ht="12.75">
      <c r="A236" s="29" t="str">
        <f>HYPERLINK("https://www.youtube.com/watch?v=YgEDHJ5eUE0","All Your Light (Times Like These)")</f>
        <v>All Your Light (Times Like These)</v>
      </c>
      <c r="B236" s="28">
        <v>45</v>
      </c>
      <c r="C236" s="29" t="str">
        <f>HYPERLINK("https://en.wikipedia.org/wiki/In_the_Mountain_in_the_Cloud","In the Mountain in the Cloud")</f>
        <v>In the Mountain in the Cloud</v>
      </c>
      <c r="D236" s="27">
        <v>2011</v>
      </c>
    </row>
    <row r="237" spans="1:4" ht="12.75">
      <c r="A237" s="9" t="str">
        <f>HYPERLINK("https://www.youtube.com/watch?v=5FWtYS_OXh0","Salt")</f>
        <v>Salt</v>
      </c>
      <c r="B237" s="8">
        <v>43</v>
      </c>
      <c r="C237" s="9" t="str">
        <f>HYPERLINK("https://en.wikipedia.org/wiki/Censored_Colors","Censored Colors")</f>
        <v>Censored Colors</v>
      </c>
      <c r="D237" s="7">
        <v>2008</v>
      </c>
    </row>
    <row r="238" spans="1:4" ht="12.75">
      <c r="A238" s="29" t="str">
        <f>HYPERLINK("https://www.youtube.com/watch?v=n-3dFoSlyIQ","Sea of Air")</f>
        <v>Sea of Air</v>
      </c>
      <c r="B238" s="28">
        <v>36</v>
      </c>
      <c r="C238" s="29" t="str">
        <f>HYPERLINK("https://en.wikipedia.org/wiki/Evil_Friends","Evil Friends")</f>
        <v>Evil Friends</v>
      </c>
      <c r="D238" s="27">
        <v>2013</v>
      </c>
    </row>
    <row r="239" spans="1:4" ht="12.75">
      <c r="A239" s="152"/>
      <c r="B239" s="153"/>
      <c r="C239" s="153"/>
      <c r="D239" s="154"/>
    </row>
    <row r="240" spans="1:4" ht="18">
      <c r="A240" s="22" t="str">
        <f>HYPERLINK("https://www.reddit.com/r/indieheads/comments/f98oc0/top_ten_tuesday_preoccupations/","Preoccupations")</f>
        <v>Preoccupations</v>
      </c>
      <c r="B240" s="30">
        <v>43886</v>
      </c>
      <c r="C240" s="24"/>
      <c r="D240" s="32" t="s">
        <v>1</v>
      </c>
    </row>
    <row r="241" spans="1:4" ht="12.75">
      <c r="A241" s="26" t="s">
        <v>2</v>
      </c>
      <c r="B241" s="26" t="s">
        <v>3</v>
      </c>
      <c r="C241" s="26" t="s">
        <v>4</v>
      </c>
      <c r="D241" s="26" t="s">
        <v>5</v>
      </c>
    </row>
    <row r="242" spans="1:4" ht="12.75">
      <c r="A242" s="7" t="s">
        <v>2901</v>
      </c>
      <c r="B242" s="8">
        <v>263</v>
      </c>
      <c r="C242" s="9" t="str">
        <f t="shared" ref="C242:C246" si="17">HYPERLINK("https://en.wikipedia.org/wiki/Viet_Cong_(album)","Viet Cong")</f>
        <v>Viet Cong</v>
      </c>
      <c r="D242" s="7">
        <v>2015</v>
      </c>
    </row>
    <row r="243" spans="1:4" ht="12.75">
      <c r="A243" s="27" t="s">
        <v>2902</v>
      </c>
      <c r="B243" s="28">
        <v>249</v>
      </c>
      <c r="C243" s="29" t="str">
        <f t="shared" si="17"/>
        <v>Viet Cong</v>
      </c>
      <c r="D243" s="27">
        <v>2015</v>
      </c>
    </row>
    <row r="244" spans="1:4" ht="12.75">
      <c r="A244" s="7" t="s">
        <v>76</v>
      </c>
      <c r="B244" s="8">
        <v>221</v>
      </c>
      <c r="C244" s="9" t="str">
        <f t="shared" si="17"/>
        <v>Viet Cong</v>
      </c>
      <c r="D244" s="7">
        <v>2015</v>
      </c>
    </row>
    <row r="245" spans="1:4" ht="12.75">
      <c r="A245" s="27" t="s">
        <v>2903</v>
      </c>
      <c r="B245" s="28">
        <v>195</v>
      </c>
      <c r="C245" s="29" t="str">
        <f t="shared" si="17"/>
        <v>Viet Cong</v>
      </c>
      <c r="D245" s="27">
        <v>2015</v>
      </c>
    </row>
    <row r="246" spans="1:4" ht="12.75">
      <c r="A246" s="7" t="s">
        <v>2904</v>
      </c>
      <c r="B246" s="8">
        <v>149</v>
      </c>
      <c r="C246" s="9" t="str">
        <f t="shared" si="17"/>
        <v>Viet Cong</v>
      </c>
      <c r="D246" s="7">
        <v>2015</v>
      </c>
    </row>
    <row r="247" spans="1:4" ht="12.75">
      <c r="A247" s="27" t="s">
        <v>2905</v>
      </c>
      <c r="B247" s="28">
        <v>134</v>
      </c>
      <c r="C247" s="29" t="str">
        <f t="shared" ref="C247:C249" si="18">HYPERLINK("https://en.wikipedia.org/wiki/Preoccupations_(album)","Preoccupations")</f>
        <v>Preoccupations</v>
      </c>
      <c r="D247" s="27">
        <v>2016</v>
      </c>
    </row>
    <row r="248" spans="1:4" ht="12.75">
      <c r="A248" s="7" t="s">
        <v>2906</v>
      </c>
      <c r="B248" s="8">
        <v>105</v>
      </c>
      <c r="C248" s="9" t="str">
        <f t="shared" si="18"/>
        <v>Preoccupations</v>
      </c>
      <c r="D248" s="7">
        <v>2016</v>
      </c>
    </row>
    <row r="249" spans="1:4" ht="12.75">
      <c r="A249" s="27" t="s">
        <v>2907</v>
      </c>
      <c r="B249" s="28">
        <v>97</v>
      </c>
      <c r="C249" s="29" t="str">
        <f t="shared" si="18"/>
        <v>Preoccupations</v>
      </c>
      <c r="D249" s="27">
        <v>2016</v>
      </c>
    </row>
    <row r="250" spans="1:4" ht="12.75">
      <c r="A250" s="7" t="s">
        <v>2908</v>
      </c>
      <c r="B250" s="8">
        <v>88</v>
      </c>
      <c r="C250" s="7" t="s">
        <v>2909</v>
      </c>
      <c r="D250" s="7">
        <v>2013</v>
      </c>
    </row>
    <row r="251" spans="1:4" ht="12.75">
      <c r="A251" s="27" t="s">
        <v>2910</v>
      </c>
      <c r="B251" s="28">
        <v>85</v>
      </c>
      <c r="C251" s="29" t="str">
        <f>HYPERLINK("https://en.wikipedia.org/wiki/Preoccupations_(album)","Preoccupations")</f>
        <v>Preoccupations</v>
      </c>
      <c r="D251" s="27">
        <v>2016</v>
      </c>
    </row>
    <row r="252" spans="1:4" ht="12.75">
      <c r="A252" s="152"/>
      <c r="B252" s="153"/>
      <c r="C252" s="153"/>
      <c r="D252" s="154"/>
    </row>
    <row r="253" spans="1:4" ht="18">
      <c r="A253" s="22" t="str">
        <f>HYPERLINK("https://www.reddit.com/r/indieheads/comments/b2wkrj/top_ten_tuesday_primal_scream/","Primal Scream")</f>
        <v>Primal Scream</v>
      </c>
      <c r="B253" s="30">
        <v>43543</v>
      </c>
      <c r="C253" s="24"/>
      <c r="D253" s="32" t="s">
        <v>1</v>
      </c>
    </row>
    <row r="254" spans="1:4" ht="12.75">
      <c r="A254" s="26" t="s">
        <v>2</v>
      </c>
      <c r="B254" s="26" t="s">
        <v>3</v>
      </c>
      <c r="C254" s="26" t="s">
        <v>4</v>
      </c>
      <c r="D254" s="26" t="s">
        <v>5</v>
      </c>
    </row>
    <row r="255" spans="1:4" ht="12.75">
      <c r="A255" s="7" t="s">
        <v>2911</v>
      </c>
      <c r="B255" s="8">
        <v>63</v>
      </c>
      <c r="C255" s="9" t="str">
        <f t="shared" ref="C255:C258" si="19">HYPERLINK("https://en.wikipedia.org/wiki/Screamadelica","Screamadelica")</f>
        <v>Screamadelica</v>
      </c>
      <c r="D255" s="7">
        <v>1991</v>
      </c>
    </row>
    <row r="256" spans="1:4" ht="12.75">
      <c r="A256" s="27" t="s">
        <v>2912</v>
      </c>
      <c r="B256" s="28">
        <v>61</v>
      </c>
      <c r="C256" s="29" t="str">
        <f t="shared" si="19"/>
        <v>Screamadelica</v>
      </c>
      <c r="D256" s="27">
        <v>1991</v>
      </c>
    </row>
    <row r="257" spans="1:4" ht="12.75">
      <c r="A257" s="7" t="s">
        <v>2913</v>
      </c>
      <c r="B257" s="8">
        <v>58</v>
      </c>
      <c r="C257" s="9" t="str">
        <f t="shared" si="19"/>
        <v>Screamadelica</v>
      </c>
      <c r="D257" s="7">
        <v>1991</v>
      </c>
    </row>
    <row r="258" spans="1:4" ht="12.75">
      <c r="A258" s="27" t="s">
        <v>2914</v>
      </c>
      <c r="B258" s="28">
        <v>55</v>
      </c>
      <c r="C258" s="29" t="str">
        <f t="shared" si="19"/>
        <v>Screamadelica</v>
      </c>
      <c r="D258" s="27">
        <v>1991</v>
      </c>
    </row>
    <row r="259" spans="1:4" ht="12.75">
      <c r="A259" s="7" t="s">
        <v>2915</v>
      </c>
      <c r="B259" s="8">
        <v>50</v>
      </c>
      <c r="C259" s="9" t="str">
        <f>HYPERLINK("https://en.wikipedia.org/wiki/Vanishing_Point_(Primal_Scream_album)","Vanishing Point")</f>
        <v>Vanishing Point</v>
      </c>
      <c r="D259" s="7">
        <v>1997</v>
      </c>
    </row>
    <row r="260" spans="1:4" ht="12.75">
      <c r="A260" s="27" t="s">
        <v>2916</v>
      </c>
      <c r="B260" s="28">
        <v>45</v>
      </c>
      <c r="C260" s="29" t="str">
        <f t="shared" ref="C260:C262" si="20">HYPERLINK("https://en.wikipedia.org/wiki/XTRMNTR","XTRMNTR")</f>
        <v>XTRMNTR</v>
      </c>
      <c r="D260" s="27">
        <v>2000</v>
      </c>
    </row>
    <row r="261" spans="1:4" ht="12.75">
      <c r="A261" s="7" t="s">
        <v>3951</v>
      </c>
      <c r="B261" s="8">
        <v>33</v>
      </c>
      <c r="C261" s="9" t="str">
        <f t="shared" si="20"/>
        <v>XTRMNTR</v>
      </c>
      <c r="D261" s="7">
        <v>2000</v>
      </c>
    </row>
    <row r="262" spans="1:4" ht="12.75">
      <c r="A262" s="27" t="s">
        <v>2917</v>
      </c>
      <c r="B262" s="28">
        <v>28</v>
      </c>
      <c r="C262" s="29" t="str">
        <f t="shared" si="20"/>
        <v>XTRMNTR</v>
      </c>
      <c r="D262" s="27">
        <v>2000</v>
      </c>
    </row>
    <row r="263" spans="1:4" ht="12.75">
      <c r="A263" s="7" t="s">
        <v>2918</v>
      </c>
      <c r="B263" s="8">
        <v>25</v>
      </c>
      <c r="C263" s="9" t="str">
        <f>HYPERLINK("https://en.wikipedia.org/wiki/Screamadelica","Screamadelica")</f>
        <v>Screamadelica</v>
      </c>
      <c r="D263" s="7">
        <v>1991</v>
      </c>
    </row>
    <row r="264" spans="1:4" ht="12.75">
      <c r="A264" s="27" t="s">
        <v>2919</v>
      </c>
      <c r="B264" s="28">
        <v>24</v>
      </c>
      <c r="C264" s="29" t="str">
        <f>HYPERLINK("https://en.wikipedia.org/wiki/XTRMNTR","XTRMNTR")</f>
        <v>XTRMNTR</v>
      </c>
      <c r="D264" s="27">
        <v>2000</v>
      </c>
    </row>
    <row r="265" spans="1:4" ht="12.75">
      <c r="A265" s="152"/>
      <c r="B265" s="153"/>
      <c r="C265" s="153"/>
      <c r="D265" s="154"/>
    </row>
    <row r="266" spans="1:4" ht="18">
      <c r="A266" s="22" t="str">
        <f>HYPERLINK("https://www.reddit.com/r/indieheads/comments/dbrit4/top_ten_tuesday_protomartyr/","Protomartyr")</f>
        <v>Protomartyr</v>
      </c>
      <c r="B266" s="108">
        <v>43739</v>
      </c>
      <c r="C266" s="24"/>
      <c r="D266" s="32" t="s">
        <v>1</v>
      </c>
    </row>
    <row r="267" spans="1:4" ht="12.75">
      <c r="A267" s="26" t="s">
        <v>2</v>
      </c>
      <c r="B267" s="26" t="s">
        <v>3</v>
      </c>
      <c r="C267" s="26" t="s">
        <v>4</v>
      </c>
      <c r="D267" s="26" t="s">
        <v>5</v>
      </c>
    </row>
    <row r="268" spans="1:4" ht="12.75">
      <c r="A268" s="7" t="s">
        <v>2920</v>
      </c>
      <c r="B268" s="8">
        <v>237</v>
      </c>
      <c r="C268" s="9" t="str">
        <f t="shared" ref="C268:C269" si="21">HYPERLINK("https://en.wikipedia.org/wiki/Relatives_in_Descent","Relatives in Descent")</f>
        <v>Relatives in Descent</v>
      </c>
      <c r="D268" s="7">
        <v>2017</v>
      </c>
    </row>
    <row r="269" spans="1:4" ht="12.75">
      <c r="A269" s="27" t="s">
        <v>2921</v>
      </c>
      <c r="B269" s="28">
        <v>232</v>
      </c>
      <c r="C269" s="29" t="str">
        <f t="shared" si="21"/>
        <v>Relatives in Descent</v>
      </c>
      <c r="D269" s="27">
        <v>2017</v>
      </c>
    </row>
    <row r="270" spans="1:4" ht="12.75">
      <c r="A270" s="7" t="s">
        <v>2922</v>
      </c>
      <c r="B270" s="8">
        <v>188</v>
      </c>
      <c r="C270" s="9" t="s">
        <v>2923</v>
      </c>
      <c r="D270" s="7">
        <v>2020</v>
      </c>
    </row>
    <row r="271" spans="1:4" ht="12.75">
      <c r="A271" s="27" t="s">
        <v>2924</v>
      </c>
      <c r="B271" s="28">
        <v>179</v>
      </c>
      <c r="C271" s="29" t="s">
        <v>2923</v>
      </c>
      <c r="D271" s="27">
        <v>2020</v>
      </c>
    </row>
    <row r="272" spans="1:4" ht="12.75">
      <c r="A272" s="7" t="s">
        <v>2925</v>
      </c>
      <c r="B272" s="8">
        <v>171</v>
      </c>
      <c r="C272" s="9" t="str">
        <f>HYPERLINK("https://en.wikipedia.org/wiki/Under_Color_of_Official_Right","Under Color of Official Right")</f>
        <v>Under Color of Official Right</v>
      </c>
      <c r="D272" s="7">
        <v>2014</v>
      </c>
    </row>
    <row r="273" spans="1:4" ht="12.75">
      <c r="A273" s="10" t="s">
        <v>2926</v>
      </c>
      <c r="B273" s="11">
        <v>168</v>
      </c>
      <c r="C273" s="12" t="str">
        <f>HYPERLINK("https://en.wikipedia.org/wiki/Relatives_in_Descent","Relatives in Descent")</f>
        <v>Relatives in Descent</v>
      </c>
      <c r="D273" s="10">
        <v>2017</v>
      </c>
    </row>
    <row r="274" spans="1:4" ht="12.75">
      <c r="A274" s="7" t="s">
        <v>2927</v>
      </c>
      <c r="B274" s="8">
        <v>164</v>
      </c>
      <c r="C274" s="9" t="str">
        <f>HYPERLINK("https://en.wikipedia.org/wiki/The_Agent_Intellect","The Agent Intellect")</f>
        <v>The Agent Intellect</v>
      </c>
      <c r="D274" s="7">
        <v>2015</v>
      </c>
    </row>
    <row r="275" spans="1:4" ht="12.75">
      <c r="A275" s="27" t="s">
        <v>2928</v>
      </c>
      <c r="B275" s="28">
        <v>152</v>
      </c>
      <c r="C275" s="29" t="s">
        <v>2923</v>
      </c>
      <c r="D275" s="27">
        <v>2020</v>
      </c>
    </row>
    <row r="276" spans="1:4" ht="12.75">
      <c r="A276" s="7" t="s">
        <v>2929</v>
      </c>
      <c r="B276" s="8">
        <v>149</v>
      </c>
      <c r="C276" s="9" t="str">
        <f>HYPERLINK("https://en.wikipedia.org/wiki/The_Agent_Intellect","The Agent Intellect")</f>
        <v>The Agent Intellect</v>
      </c>
      <c r="D276" s="7">
        <v>2015</v>
      </c>
    </row>
    <row r="277" spans="1:4" ht="12.75">
      <c r="A277" s="27" t="s">
        <v>2930</v>
      </c>
      <c r="B277" s="28">
        <v>131</v>
      </c>
      <c r="C277" s="29" t="str">
        <f>HYPERLINK("https://en.wikipedia.org/wiki/Under_Color_of_Official_Right","Under Color of Official Right")</f>
        <v>Under Color of Official Right</v>
      </c>
      <c r="D277" s="27">
        <v>2014</v>
      </c>
    </row>
    <row r="278" spans="1:4" ht="12.75">
      <c r="A278" s="152"/>
      <c r="B278" s="153"/>
      <c r="C278" s="153"/>
      <c r="D278" s="154"/>
    </row>
    <row r="279" spans="1:4" ht="18">
      <c r="A279" s="13" t="s">
        <v>2931</v>
      </c>
      <c r="B279" s="47">
        <v>44908</v>
      </c>
      <c r="C279" s="48"/>
      <c r="D279" s="48"/>
    </row>
    <row r="280" spans="1:4" ht="12.75">
      <c r="A280" s="15" t="s">
        <v>2</v>
      </c>
      <c r="B280" s="15" t="s">
        <v>3</v>
      </c>
      <c r="C280" s="15" t="s">
        <v>4</v>
      </c>
      <c r="D280" s="15" t="s">
        <v>5</v>
      </c>
    </row>
    <row r="281" spans="1:4" ht="12.75">
      <c r="A281" s="16" t="s">
        <v>2932</v>
      </c>
      <c r="B281" s="16">
        <v>67</v>
      </c>
      <c r="C281" s="16" t="s">
        <v>2933</v>
      </c>
      <c r="D281" s="16">
        <v>1979</v>
      </c>
    </row>
    <row r="282" spans="1:4" ht="12.75">
      <c r="A282" s="17" t="s">
        <v>3952</v>
      </c>
      <c r="B282" s="17">
        <v>40</v>
      </c>
      <c r="C282" s="17" t="s">
        <v>2933</v>
      </c>
      <c r="D282" s="17">
        <v>1979</v>
      </c>
    </row>
    <row r="283" spans="1:4" ht="12.75">
      <c r="A283" s="16" t="s">
        <v>2934</v>
      </c>
      <c r="B283" s="16">
        <v>37</v>
      </c>
      <c r="C283" s="16" t="s">
        <v>2935</v>
      </c>
      <c r="D283" s="16">
        <v>1978</v>
      </c>
    </row>
    <row r="284" spans="1:4" ht="12.75">
      <c r="A284" s="17" t="s">
        <v>2936</v>
      </c>
      <c r="B284" s="17">
        <v>35</v>
      </c>
      <c r="C284" s="17" t="s">
        <v>2935</v>
      </c>
      <c r="D284" s="17">
        <v>1978</v>
      </c>
    </row>
    <row r="285" spans="1:4" ht="12.75">
      <c r="A285" s="16" t="s">
        <v>2937</v>
      </c>
      <c r="B285" s="16">
        <v>27</v>
      </c>
      <c r="C285" s="16" t="s">
        <v>4</v>
      </c>
      <c r="D285" s="16">
        <v>1986</v>
      </c>
    </row>
    <row r="286" spans="1:4" ht="12.75">
      <c r="A286" s="17" t="s">
        <v>2938</v>
      </c>
      <c r="B286" s="17">
        <v>27</v>
      </c>
      <c r="C286" s="17" t="s">
        <v>2933</v>
      </c>
      <c r="D286" s="17">
        <v>1979</v>
      </c>
    </row>
    <row r="287" spans="1:4" ht="12.75">
      <c r="A287" s="16" t="s">
        <v>2939</v>
      </c>
      <c r="B287" s="16">
        <v>25</v>
      </c>
      <c r="C287" s="16" t="s">
        <v>2940</v>
      </c>
      <c r="D287" s="16">
        <v>1981</v>
      </c>
    </row>
    <row r="288" spans="1:4" ht="12.75">
      <c r="A288" s="17" t="s">
        <v>2941</v>
      </c>
      <c r="B288" s="17">
        <v>25</v>
      </c>
      <c r="C288" s="17" t="s">
        <v>2933</v>
      </c>
      <c r="D288" s="17">
        <v>1979</v>
      </c>
    </row>
    <row r="289" spans="1:4" ht="12.75">
      <c r="A289" s="16" t="s">
        <v>2942</v>
      </c>
      <c r="B289" s="16">
        <v>18</v>
      </c>
      <c r="C289" s="16" t="s">
        <v>2935</v>
      </c>
      <c r="D289" s="16">
        <v>1978</v>
      </c>
    </row>
    <row r="290" spans="1:4" ht="12.75">
      <c r="A290" s="17" t="s">
        <v>2943</v>
      </c>
      <c r="B290" s="17">
        <v>16</v>
      </c>
      <c r="C290" s="17" t="s">
        <v>2944</v>
      </c>
      <c r="D290" s="17">
        <v>1984</v>
      </c>
    </row>
    <row r="291" spans="1:4" ht="12.75">
      <c r="A291" s="155"/>
      <c r="B291" s="156"/>
      <c r="C291" s="156"/>
      <c r="D291" s="156"/>
    </row>
    <row r="292" spans="1:4" ht="18">
      <c r="A292" s="22" t="str">
        <f>HYPERLINK("https://www.reddit.com/r/indieheads/comments/9yscva/top_ten_tuesday_pulp/","Pulp")</f>
        <v>Pulp</v>
      </c>
      <c r="B292" s="43">
        <v>43424</v>
      </c>
      <c r="C292" s="24"/>
      <c r="D292" s="32" t="s">
        <v>1</v>
      </c>
    </row>
    <row r="293" spans="1:4" ht="12.75">
      <c r="A293" s="26" t="s">
        <v>2</v>
      </c>
      <c r="B293" s="26" t="s">
        <v>3</v>
      </c>
      <c r="C293" s="26" t="s">
        <v>4</v>
      </c>
      <c r="D293" s="26" t="s">
        <v>5</v>
      </c>
    </row>
    <row r="294" spans="1:4" ht="12.75">
      <c r="A294" s="7" t="s">
        <v>2945</v>
      </c>
      <c r="B294" s="8">
        <v>377</v>
      </c>
      <c r="C294" s="9" t="str">
        <f>HYPERLINK("https://en.wikipedia.org/wiki/Different_Class","Different Class")</f>
        <v>Different Class</v>
      </c>
      <c r="D294" s="7">
        <v>1995</v>
      </c>
    </row>
    <row r="295" spans="1:4" ht="12.75">
      <c r="A295" s="27" t="s">
        <v>2946</v>
      </c>
      <c r="B295" s="28">
        <v>265</v>
      </c>
      <c r="C295" s="29" t="str">
        <f>HYPERLINK("https://en.wikipedia.org/wiki/This_Is_Hardcore","This Is Hardcore")</f>
        <v>This Is Hardcore</v>
      </c>
      <c r="D295" s="27">
        <v>1998</v>
      </c>
    </row>
    <row r="296" spans="1:4" ht="12.75">
      <c r="A296" s="7" t="s">
        <v>2947</v>
      </c>
      <c r="B296" s="8">
        <v>232</v>
      </c>
      <c r="C296" s="9" t="str">
        <f>HYPERLINK("https://en.wikipedia.org/wiki/Different_Class","Different Class")</f>
        <v>Different Class</v>
      </c>
      <c r="D296" s="7">
        <v>1995</v>
      </c>
    </row>
    <row r="297" spans="1:4" ht="12.75">
      <c r="A297" s="27" t="s">
        <v>2948</v>
      </c>
      <c r="B297" s="28">
        <v>232</v>
      </c>
      <c r="C297" s="29" t="str">
        <f t="shared" ref="C297:C298" si="22">HYPERLINK("https://en.wikipedia.org/wiki/His_%27n%27_Hers","His 'n' Hers")</f>
        <v>His 'n' Hers</v>
      </c>
      <c r="D297" s="27">
        <v>1992</v>
      </c>
    </row>
    <row r="298" spans="1:4" ht="12.75">
      <c r="A298" s="7" t="s">
        <v>2949</v>
      </c>
      <c r="B298" s="8">
        <v>177</v>
      </c>
      <c r="C298" s="9" t="str">
        <f t="shared" si="22"/>
        <v>His 'n' Hers</v>
      </c>
      <c r="D298" s="7">
        <v>1994</v>
      </c>
    </row>
    <row r="299" spans="1:4" ht="12.75">
      <c r="A299" s="27" t="s">
        <v>2950</v>
      </c>
      <c r="B299" s="28">
        <v>147</v>
      </c>
      <c r="C299" s="29" t="str">
        <f t="shared" ref="C299:C300" si="23">HYPERLINK("https://en.wikipedia.org/wiki/Different_Class","Different Class")</f>
        <v>Different Class</v>
      </c>
      <c r="D299" s="27">
        <v>1995</v>
      </c>
    </row>
    <row r="300" spans="1:4" ht="12.75">
      <c r="A300" s="7" t="s">
        <v>2951</v>
      </c>
      <c r="B300" s="8">
        <v>130</v>
      </c>
      <c r="C300" s="9" t="str">
        <f t="shared" si="23"/>
        <v>Different Class</v>
      </c>
      <c r="D300" s="7">
        <v>1995</v>
      </c>
    </row>
    <row r="301" spans="1:4" ht="12.75">
      <c r="A301" s="27" t="s">
        <v>2952</v>
      </c>
      <c r="B301" s="28">
        <v>102</v>
      </c>
      <c r="C301" s="29" t="str">
        <f>HYPERLINK("https://en.wikipedia.org/wiki/A_Little_Soul","""A Little Soul"" B-side")</f>
        <v>"A Little Soul" B-side</v>
      </c>
      <c r="D301" s="27">
        <v>1998</v>
      </c>
    </row>
    <row r="302" spans="1:4" ht="12.75">
      <c r="A302" s="7" t="s">
        <v>2953</v>
      </c>
      <c r="B302" s="8">
        <v>97</v>
      </c>
      <c r="C302" s="9" t="str">
        <f>HYPERLINK("https://en.wikipedia.org/wiki/Different_Class","Different Class")</f>
        <v>Different Class</v>
      </c>
      <c r="D302" s="7">
        <v>1995</v>
      </c>
    </row>
    <row r="303" spans="1:4" ht="12.75">
      <c r="A303" s="27" t="s">
        <v>2954</v>
      </c>
      <c r="B303" s="28">
        <v>94</v>
      </c>
      <c r="C303" s="29" t="str">
        <f>HYPERLINK("https://en.wikipedia.org/wiki/This_Is_Hardcore","This Is Hardcore")</f>
        <v>This Is Hardcore</v>
      </c>
      <c r="D303" s="27">
        <v>1998</v>
      </c>
    </row>
    <row r="304" spans="1:4" ht="12.75">
      <c r="A304" s="152"/>
      <c r="B304" s="153"/>
      <c r="C304" s="153"/>
      <c r="D304" s="154"/>
    </row>
    <row r="305" spans="1:4" ht="18">
      <c r="A305" s="22" t="str">
        <f>HYPERLINK("https://www.reddit.com/r/indieheads/comments/ef0510/top_ten_tuesday_pup/","PUP")</f>
        <v>PUP</v>
      </c>
      <c r="B305" s="43">
        <v>43823</v>
      </c>
      <c r="C305" s="24"/>
      <c r="D305" s="32" t="s">
        <v>1</v>
      </c>
    </row>
    <row r="306" spans="1:4" ht="12.75">
      <c r="A306" s="26" t="s">
        <v>2</v>
      </c>
      <c r="B306" s="26" t="s">
        <v>3</v>
      </c>
      <c r="C306" s="26" t="s">
        <v>4</v>
      </c>
      <c r="D306" s="26" t="s">
        <v>5</v>
      </c>
    </row>
    <row r="307" spans="1:4" ht="12.75">
      <c r="A307" s="7" t="s">
        <v>2955</v>
      </c>
      <c r="B307" s="8">
        <v>388</v>
      </c>
      <c r="C307" s="9" t="str">
        <f>HYPERLINK("https://en.wikipedia.org/wiki/The_Dream_Is_Over","The Dream Is Over")</f>
        <v>The Dream Is Over</v>
      </c>
      <c r="D307" s="7">
        <v>2016</v>
      </c>
    </row>
    <row r="308" spans="1:4" ht="12.75">
      <c r="A308" s="27" t="s">
        <v>2956</v>
      </c>
      <c r="B308" s="28">
        <v>229</v>
      </c>
      <c r="C308" s="29" t="str">
        <f>HYPERLINK("https://en.wikipedia.org/wiki/Morbid_Stuff","Morbid Stuff")</f>
        <v>Morbid Stuff</v>
      </c>
      <c r="D308" s="27">
        <v>2019</v>
      </c>
    </row>
    <row r="309" spans="1:4" ht="12.75">
      <c r="A309" s="7" t="s">
        <v>2957</v>
      </c>
      <c r="B309" s="8">
        <v>223</v>
      </c>
      <c r="C309" s="9" t="str">
        <f>HYPERLINK("https://en.wikipedia.org/wiki/The_Dream_Is_Over","The Dream Is Over")</f>
        <v>The Dream Is Over</v>
      </c>
      <c r="D309" s="7">
        <v>2016</v>
      </c>
    </row>
    <row r="310" spans="1:4" ht="12.75">
      <c r="A310" s="27" t="s">
        <v>2958</v>
      </c>
      <c r="B310" s="28">
        <v>200</v>
      </c>
      <c r="C310" s="29" t="str">
        <f>HYPERLINK("https://en.wikipedia.org/wiki/Morbid_Stuff","Morbid Stuff")</f>
        <v>Morbid Stuff</v>
      </c>
      <c r="D310" s="27">
        <v>2019</v>
      </c>
    </row>
    <row r="311" spans="1:4" ht="12.75">
      <c r="A311" s="7" t="s">
        <v>2959</v>
      </c>
      <c r="B311" s="8">
        <v>196</v>
      </c>
      <c r="C311" s="9" t="str">
        <f>HYPERLINK("https://en.wikipedia.org/wiki/The_Dream_Is_Over","The Dream Is Over")</f>
        <v>The Dream Is Over</v>
      </c>
      <c r="D311" s="7">
        <v>2016</v>
      </c>
    </row>
    <row r="312" spans="1:4" ht="12.75">
      <c r="A312" s="27" t="s">
        <v>2960</v>
      </c>
      <c r="B312" s="28">
        <v>172</v>
      </c>
      <c r="C312" s="29" t="str">
        <f>HYPERLINK("https://en.wikipedia.org/wiki/Morbid_Stuff","Morbid Stuff")</f>
        <v>Morbid Stuff</v>
      </c>
      <c r="D312" s="27">
        <v>2019</v>
      </c>
    </row>
    <row r="313" spans="1:4" ht="12.75">
      <c r="A313" s="7" t="s">
        <v>2213</v>
      </c>
      <c r="B313" s="8">
        <v>165</v>
      </c>
      <c r="C313" s="9" t="str">
        <f>HYPERLINK("https://en.wikipedia.org/wiki/PUP_(album)","PUP")</f>
        <v>PUP</v>
      </c>
      <c r="D313" s="7">
        <v>2013</v>
      </c>
    </row>
    <row r="314" spans="1:4" ht="12.75">
      <c r="A314" s="27" t="s">
        <v>2402</v>
      </c>
      <c r="B314" s="28">
        <v>163</v>
      </c>
      <c r="C314" s="29" t="str">
        <f>HYPERLINK("https://en.wikipedia.org/wiki/Morbid_Stuff","Morbid Stuff")</f>
        <v>Morbid Stuff</v>
      </c>
      <c r="D314" s="27">
        <v>2019</v>
      </c>
    </row>
    <row r="315" spans="1:4" ht="12.75">
      <c r="A315" s="7" t="s">
        <v>2375</v>
      </c>
      <c r="B315" s="8">
        <v>156</v>
      </c>
      <c r="C315" s="9" t="str">
        <f>HYPERLINK("https://en.wikipedia.org/wiki/PUP_(album)","PUP")</f>
        <v>PUP</v>
      </c>
      <c r="D315" s="7">
        <v>2013</v>
      </c>
    </row>
    <row r="316" spans="1:4" ht="12.75">
      <c r="A316" s="27" t="s">
        <v>2961</v>
      </c>
      <c r="B316" s="28">
        <v>128</v>
      </c>
      <c r="C316" s="29" t="str">
        <f>HYPERLINK("https://en.wikipedia.org/wiki/Morbid_Stuff","Morbid Stuff")</f>
        <v>Morbid Stuff</v>
      </c>
      <c r="D316" s="27">
        <v>2019</v>
      </c>
    </row>
    <row r="317" spans="1:4" ht="12.75">
      <c r="A317" s="152"/>
      <c r="B317" s="153"/>
      <c r="C317" s="153"/>
      <c r="D317" s="154"/>
    </row>
    <row r="318" spans="1:4" ht="18">
      <c r="A318" s="22" t="str">
        <f>HYPERLINK("https://www.reddit.com/r/indieheads/comments/3lznbe/top_ten_tuesday_queens_of_the_stone_age/","Queens of the Stone Age")</f>
        <v>Queens of the Stone Age</v>
      </c>
      <c r="B318" s="23">
        <v>42269</v>
      </c>
      <c r="C318" s="24"/>
      <c r="D318" s="32" t="s">
        <v>1</v>
      </c>
    </row>
    <row r="319" spans="1:4" ht="12.75">
      <c r="A319" s="26" t="s">
        <v>2</v>
      </c>
      <c r="B319" s="26" t="s">
        <v>3</v>
      </c>
      <c r="C319" s="26" t="s">
        <v>4</v>
      </c>
      <c r="D319" s="26" t="s">
        <v>5</v>
      </c>
    </row>
    <row r="320" spans="1:4" ht="12.75">
      <c r="A320" s="7" t="s">
        <v>2962</v>
      </c>
      <c r="B320" s="8">
        <v>177</v>
      </c>
      <c r="C320" s="9" t="str">
        <f t="shared" ref="C320:C321" si="24">HYPERLINK("https://en.wikipedia.org/wiki/Songs_for_the_Deaf","Songs for the Deaf")</f>
        <v>Songs for the Deaf</v>
      </c>
      <c r="D320" s="7">
        <v>2002</v>
      </c>
    </row>
    <row r="321" spans="1:4" ht="12.75">
      <c r="A321" s="27" t="s">
        <v>2963</v>
      </c>
      <c r="B321" s="28">
        <v>171</v>
      </c>
      <c r="C321" s="29" t="str">
        <f t="shared" si="24"/>
        <v>Songs for the Deaf</v>
      </c>
      <c r="D321" s="27">
        <v>2002</v>
      </c>
    </row>
    <row r="322" spans="1:4" ht="12.75">
      <c r="A322" s="7" t="s">
        <v>2964</v>
      </c>
      <c r="B322" s="8">
        <v>171</v>
      </c>
      <c r="C322" s="9" t="str">
        <f>HYPERLINK("https://en.wikipedia.org/wiki/...Like_Clockwork","...Like Clockwork")</f>
        <v>...Like Clockwork</v>
      </c>
      <c r="D322" s="7">
        <v>2013</v>
      </c>
    </row>
    <row r="323" spans="1:4" ht="12.75">
      <c r="A323" s="27" t="s">
        <v>2965</v>
      </c>
      <c r="B323" s="28">
        <v>131</v>
      </c>
      <c r="C323" s="29" t="str">
        <f>HYPERLINK("https://en.wikipedia.org/wiki/Rated_R_(Queens_of_the_Stone_Age_album)","Rated R")</f>
        <v>Rated R</v>
      </c>
      <c r="D323" s="27">
        <v>2000</v>
      </c>
    </row>
    <row r="324" spans="1:4" ht="12.75">
      <c r="A324" s="7" t="s">
        <v>2966</v>
      </c>
      <c r="B324" s="8">
        <v>96</v>
      </c>
      <c r="C324" s="9" t="str">
        <f>HYPERLINK("https://en.wikipedia.org/wiki/Songs_for_the_Deaf","Songs for the Deaf")</f>
        <v>Songs for the Deaf</v>
      </c>
      <c r="D324" s="7">
        <v>2002</v>
      </c>
    </row>
    <row r="325" spans="1:4" ht="12.75">
      <c r="A325" s="27" t="s">
        <v>2967</v>
      </c>
      <c r="B325" s="28">
        <v>92</v>
      </c>
      <c r="C325" s="29" t="str">
        <f>HYPERLINK("https://en.wikipedia.org/wiki/Rated_R_(Queens_of_the_Stone_Age_album)","Rated R")</f>
        <v>Rated R</v>
      </c>
      <c r="D325" s="27">
        <v>2000</v>
      </c>
    </row>
    <row r="326" spans="1:4" ht="12.75">
      <c r="A326" s="7" t="s">
        <v>2968</v>
      </c>
      <c r="B326" s="8">
        <v>87</v>
      </c>
      <c r="C326" s="9" t="str">
        <f>HYPERLINK("https://en.wikipedia.org/wiki/...Like_Clockwork","...Like Clockwork")</f>
        <v>...Like Clockwork</v>
      </c>
      <c r="D326" s="7">
        <v>2013</v>
      </c>
    </row>
    <row r="327" spans="1:4" ht="12.75">
      <c r="A327" s="27" t="s">
        <v>2969</v>
      </c>
      <c r="B327" s="28">
        <v>79</v>
      </c>
      <c r="C327" s="29" t="str">
        <f>HYPERLINK("https://en.wikipedia.org/wiki/Rated_R_(Queens_of_the_Stone_Age_album)","Rated R")</f>
        <v>Rated R</v>
      </c>
      <c r="D327" s="27">
        <v>2000</v>
      </c>
    </row>
    <row r="328" spans="1:4" ht="12.75">
      <c r="A328" s="7" t="s">
        <v>2970</v>
      </c>
      <c r="B328" s="8">
        <v>76</v>
      </c>
      <c r="C328" s="9" t="str">
        <f>HYPERLINK("https://en.wikipedia.org/wiki/Songs_for_the_Deaf","Songs for the Deaf")</f>
        <v>Songs for the Deaf</v>
      </c>
      <c r="D328" s="7">
        <v>2002</v>
      </c>
    </row>
    <row r="329" spans="1:4" ht="12.75">
      <c r="A329" s="27" t="s">
        <v>2971</v>
      </c>
      <c r="B329" s="28">
        <v>63</v>
      </c>
      <c r="C329" s="29" t="str">
        <f>HYPERLINK("https://en.wikipedia.org/wiki/Rated_R_(Queens_of_the_Stone_Age_album)","Rated R")</f>
        <v>Rated R</v>
      </c>
      <c r="D329" s="27">
        <v>2000</v>
      </c>
    </row>
    <row r="330" spans="1:4" ht="12.75">
      <c r="A330" s="152"/>
      <c r="B330" s="153"/>
      <c r="C330" s="153"/>
      <c r="D330" s="154"/>
    </row>
    <row r="331" spans="1:4" ht="18">
      <c r="A331" s="41" t="s">
        <v>2972</v>
      </c>
      <c r="B331" s="43">
        <v>44987</v>
      </c>
      <c r="C331" s="24"/>
      <c r="D331" s="24"/>
    </row>
    <row r="332" spans="1:4" ht="12.75">
      <c r="A332" s="26" t="s">
        <v>2</v>
      </c>
      <c r="B332" s="26" t="s">
        <v>3</v>
      </c>
      <c r="C332" s="26" t="s">
        <v>4</v>
      </c>
      <c r="D332" s="26" t="s">
        <v>5</v>
      </c>
    </row>
    <row r="333" spans="1:4" ht="12.75">
      <c r="A333" s="7" t="s">
        <v>2973</v>
      </c>
      <c r="B333" s="8">
        <v>289</v>
      </c>
      <c r="C333" s="19" t="s">
        <v>2974</v>
      </c>
      <c r="D333" s="7">
        <v>1992</v>
      </c>
    </row>
    <row r="334" spans="1:4" ht="12.75">
      <c r="A334" s="27" t="s">
        <v>2975</v>
      </c>
      <c r="B334" s="28">
        <v>214</v>
      </c>
      <c r="C334" s="35" t="s">
        <v>2976</v>
      </c>
      <c r="D334" s="27">
        <v>1984</v>
      </c>
    </row>
    <row r="335" spans="1:4" ht="12.75">
      <c r="A335" s="7" t="s">
        <v>2977</v>
      </c>
      <c r="B335" s="8">
        <v>164</v>
      </c>
      <c r="C335" s="19" t="s">
        <v>2978</v>
      </c>
      <c r="D335" s="7">
        <v>1986</v>
      </c>
    </row>
    <row r="336" spans="1:4" ht="12.75">
      <c r="A336" s="27" t="s">
        <v>2979</v>
      </c>
      <c r="B336" s="28">
        <v>161</v>
      </c>
      <c r="C336" s="35" t="s">
        <v>2980</v>
      </c>
      <c r="D336" s="27">
        <v>1991</v>
      </c>
    </row>
    <row r="337" spans="1:4" ht="12.75">
      <c r="A337" s="7" t="s">
        <v>2981</v>
      </c>
      <c r="B337" s="8">
        <v>149</v>
      </c>
      <c r="C337" s="19" t="s">
        <v>2980</v>
      </c>
      <c r="D337" s="7">
        <v>1991</v>
      </c>
    </row>
    <row r="338" spans="1:4" ht="12.75">
      <c r="A338" s="27" t="s">
        <v>2982</v>
      </c>
      <c r="B338" s="28">
        <v>146</v>
      </c>
      <c r="C338" s="35" t="s">
        <v>2974</v>
      </c>
      <c r="D338" s="27">
        <v>1992</v>
      </c>
    </row>
    <row r="339" spans="1:4" ht="12.75">
      <c r="A339" s="7" t="s">
        <v>2983</v>
      </c>
      <c r="B339" s="8">
        <v>140</v>
      </c>
      <c r="C339" s="19" t="s">
        <v>2984</v>
      </c>
      <c r="D339" s="7">
        <v>1983</v>
      </c>
    </row>
    <row r="340" spans="1:4" ht="12.75">
      <c r="A340" s="27" t="s">
        <v>2985</v>
      </c>
      <c r="B340" s="28">
        <v>123</v>
      </c>
      <c r="C340" s="35" t="s">
        <v>2986</v>
      </c>
      <c r="D340" s="27">
        <v>1994</v>
      </c>
    </row>
    <row r="341" spans="1:4" ht="12.75">
      <c r="A341" s="7" t="s">
        <v>2987</v>
      </c>
      <c r="B341" s="8">
        <v>121</v>
      </c>
      <c r="C341" s="19" t="s">
        <v>2988</v>
      </c>
      <c r="D341" s="7">
        <v>1985</v>
      </c>
    </row>
    <row r="342" spans="1:4" ht="12.75">
      <c r="A342" s="27" t="s">
        <v>2989</v>
      </c>
      <c r="B342" s="28">
        <v>98</v>
      </c>
      <c r="C342" s="35" t="s">
        <v>2974</v>
      </c>
      <c r="D342" s="27">
        <v>1992</v>
      </c>
    </row>
    <row r="343" spans="1:4" ht="12.75">
      <c r="A343" s="152"/>
      <c r="B343" s="153"/>
      <c r="C343" s="153"/>
      <c r="D343" s="154"/>
    </row>
    <row r="344" spans="1:4" ht="18">
      <c r="A344" s="22" t="str">
        <f>HYPERLINK("https://www.reddit.com/r/indieheads/comments/a7auac/top_ten_tuesday_the_radio_dept/","The Radio Dept.")</f>
        <v>The Radio Dept.</v>
      </c>
      <c r="B344" s="43">
        <v>43452</v>
      </c>
      <c r="C344" s="24"/>
      <c r="D344" s="32" t="s">
        <v>1</v>
      </c>
    </row>
    <row r="345" spans="1:4" ht="12.75">
      <c r="A345" s="26" t="s">
        <v>2</v>
      </c>
      <c r="B345" s="26" t="s">
        <v>3</v>
      </c>
      <c r="C345" s="26" t="s">
        <v>4</v>
      </c>
      <c r="D345" s="26" t="s">
        <v>5</v>
      </c>
    </row>
    <row r="346" spans="1:4" ht="12.75">
      <c r="A346" s="7" t="s">
        <v>2990</v>
      </c>
      <c r="B346" s="8">
        <v>126</v>
      </c>
      <c r="C346" s="9" t="str">
        <f>HYPERLINK("https://en.wikipedia.org/wiki/Clinging_to_a_Scheme","Clinging to a Scheme")</f>
        <v>Clinging to a Scheme</v>
      </c>
      <c r="D346" s="7">
        <v>2010</v>
      </c>
    </row>
    <row r="347" spans="1:4" ht="12.75">
      <c r="A347" s="27" t="s">
        <v>2991</v>
      </c>
      <c r="B347" s="28">
        <v>94</v>
      </c>
      <c r="C347" s="29" t="str">
        <f t="shared" ref="C347:C349" si="25">HYPERLINK("https://en.wikipedia.org/wiki/Lesser_Matters","Lesser Matters")</f>
        <v>Lesser Matters</v>
      </c>
      <c r="D347" s="27">
        <v>2003</v>
      </c>
    </row>
    <row r="348" spans="1:4" ht="12.75">
      <c r="A348" s="7" t="s">
        <v>2992</v>
      </c>
      <c r="B348" s="8">
        <v>77</v>
      </c>
      <c r="C348" s="9" t="str">
        <f t="shared" si="25"/>
        <v>Lesser Matters</v>
      </c>
      <c r="D348" s="7">
        <v>2003</v>
      </c>
    </row>
    <row r="349" spans="1:4" ht="12.75">
      <c r="A349" s="109">
        <v>1995</v>
      </c>
      <c r="B349" s="28">
        <v>57</v>
      </c>
      <c r="C349" s="29" t="str">
        <f t="shared" si="25"/>
        <v>Lesser Matters</v>
      </c>
      <c r="D349" s="27">
        <v>2003</v>
      </c>
    </row>
    <row r="350" spans="1:4" ht="12.75">
      <c r="A350" s="7" t="s">
        <v>2993</v>
      </c>
      <c r="B350" s="8">
        <v>52</v>
      </c>
      <c r="C350" s="9" t="str">
        <f t="shared" ref="C350:C351" si="26">HYPERLINK("https://en.wikipedia.org/wiki/Clinging_to_a_Scheme","Clinging to a Scheme")</f>
        <v>Clinging to a Scheme</v>
      </c>
      <c r="D350" s="7">
        <v>2010</v>
      </c>
    </row>
    <row r="351" spans="1:4" ht="12.75">
      <c r="A351" s="27" t="s">
        <v>2994</v>
      </c>
      <c r="B351" s="28">
        <v>51</v>
      </c>
      <c r="C351" s="29" t="str">
        <f t="shared" si="26"/>
        <v>Clinging to a Scheme</v>
      </c>
      <c r="D351" s="27">
        <v>2010</v>
      </c>
    </row>
    <row r="352" spans="1:4" ht="12.75">
      <c r="A352" s="7" t="s">
        <v>2995</v>
      </c>
      <c r="B352" s="8">
        <v>50</v>
      </c>
      <c r="C352" s="9" t="str">
        <f t="shared" ref="C352:C353" si="27">HYPERLINK("https://en.wikipedia.org/wiki/Pet_Grief","Pet Grief")</f>
        <v>Pet Grief</v>
      </c>
      <c r="D352" s="7">
        <v>2006</v>
      </c>
    </row>
    <row r="353" spans="1:4" ht="12.75">
      <c r="A353" s="27" t="s">
        <v>2996</v>
      </c>
      <c r="B353" s="28">
        <v>49</v>
      </c>
      <c r="C353" s="29" t="str">
        <f t="shared" si="27"/>
        <v>Pet Grief</v>
      </c>
      <c r="D353" s="27">
        <v>2006</v>
      </c>
    </row>
    <row r="354" spans="1:4" ht="12.75">
      <c r="A354" s="7" t="s">
        <v>2997</v>
      </c>
      <c r="B354" s="8">
        <v>49</v>
      </c>
      <c r="C354" s="7" t="s">
        <v>2998</v>
      </c>
      <c r="D354" s="7">
        <v>2003</v>
      </c>
    </row>
    <row r="355" spans="1:4" ht="12.75">
      <c r="A355" s="27" t="s">
        <v>2999</v>
      </c>
      <c r="B355" s="28">
        <v>48</v>
      </c>
      <c r="C355" s="29" t="str">
        <f>HYPERLINK("https://en.wikipedia.org/wiki/Lesser_Matters","Lesser Matters")</f>
        <v>Lesser Matters</v>
      </c>
      <c r="D355" s="27">
        <v>2003</v>
      </c>
    </row>
    <row r="356" spans="1:4" ht="12.75">
      <c r="A356" s="152"/>
      <c r="B356" s="153"/>
      <c r="C356" s="153"/>
      <c r="D356" s="154"/>
    </row>
    <row r="357" spans="1:4" ht="18">
      <c r="A357" s="41" t="s">
        <v>3000</v>
      </c>
      <c r="B357" s="23">
        <v>44903</v>
      </c>
      <c r="C357" s="24"/>
      <c r="D357" s="24"/>
    </row>
    <row r="358" spans="1:4" ht="12.75">
      <c r="A358" s="26" t="s">
        <v>2</v>
      </c>
      <c r="B358" s="26" t="s">
        <v>3</v>
      </c>
      <c r="C358" s="26" t="s">
        <v>4</v>
      </c>
      <c r="D358" s="26" t="s">
        <v>5</v>
      </c>
    </row>
    <row r="359" spans="1:4" ht="12.75">
      <c r="A359" s="7" t="s">
        <v>3953</v>
      </c>
      <c r="B359" s="8">
        <v>614</v>
      </c>
      <c r="C359" s="19" t="s">
        <v>3001</v>
      </c>
      <c r="D359" s="7">
        <v>2007</v>
      </c>
    </row>
    <row r="360" spans="1:4" ht="12.75">
      <c r="A360" s="27" t="s">
        <v>3002</v>
      </c>
      <c r="B360" s="28">
        <v>552</v>
      </c>
      <c r="C360" s="35" t="s">
        <v>3003</v>
      </c>
      <c r="D360" s="27">
        <v>1997</v>
      </c>
    </row>
    <row r="361" spans="1:4" ht="12.75">
      <c r="A361" s="7" t="s">
        <v>3004</v>
      </c>
      <c r="B361" s="8">
        <v>543</v>
      </c>
      <c r="C361" s="19" t="s">
        <v>3003</v>
      </c>
      <c r="D361" s="7">
        <v>1997</v>
      </c>
    </row>
    <row r="362" spans="1:4" ht="12.75">
      <c r="A362" s="27" t="s">
        <v>3005</v>
      </c>
      <c r="B362" s="28">
        <v>480</v>
      </c>
      <c r="C362" s="35" t="s">
        <v>3006</v>
      </c>
      <c r="D362" s="27">
        <v>2000</v>
      </c>
    </row>
    <row r="363" spans="1:4" ht="12.75">
      <c r="A363" s="7" t="s">
        <v>3007</v>
      </c>
      <c r="B363" s="8">
        <v>474</v>
      </c>
      <c r="C363" s="19" t="s">
        <v>3001</v>
      </c>
      <c r="D363" s="7">
        <v>2007</v>
      </c>
    </row>
    <row r="364" spans="1:4" ht="12.75">
      <c r="A364" s="10" t="s">
        <v>3008</v>
      </c>
      <c r="B364" s="11">
        <v>437</v>
      </c>
      <c r="C364" s="20" t="s">
        <v>3006</v>
      </c>
      <c r="D364" s="10">
        <v>2000</v>
      </c>
    </row>
    <row r="365" spans="1:4" ht="12.75">
      <c r="A365" s="7" t="s">
        <v>3009</v>
      </c>
      <c r="B365" s="8">
        <v>383</v>
      </c>
      <c r="C365" s="19" t="s">
        <v>3006</v>
      </c>
      <c r="D365" s="7">
        <v>2000</v>
      </c>
    </row>
    <row r="366" spans="1:4" ht="12.75">
      <c r="A366" s="10" t="s">
        <v>3010</v>
      </c>
      <c r="B366" s="11">
        <v>340</v>
      </c>
      <c r="C366" s="20" t="s">
        <v>3011</v>
      </c>
      <c r="D366" s="10">
        <v>2001</v>
      </c>
    </row>
    <row r="367" spans="1:4" ht="12.75">
      <c r="A367" s="7" t="s">
        <v>3012</v>
      </c>
      <c r="B367" s="8">
        <v>308</v>
      </c>
      <c r="C367" s="19" t="s">
        <v>3003</v>
      </c>
      <c r="D367" s="7">
        <v>1997</v>
      </c>
    </row>
    <row r="368" spans="1:4" ht="12.75">
      <c r="A368" s="27" t="s">
        <v>3013</v>
      </c>
      <c r="B368" s="28">
        <v>264</v>
      </c>
      <c r="C368" s="35" t="s">
        <v>3014</v>
      </c>
      <c r="D368" s="27">
        <v>2003</v>
      </c>
    </row>
    <row r="369" spans="1:4" ht="12.75">
      <c r="A369" s="152"/>
      <c r="B369" s="153"/>
      <c r="C369" s="153"/>
      <c r="D369" s="154"/>
    </row>
    <row r="370" spans="1:4" ht="18">
      <c r="A370" s="22" t="s">
        <v>3015</v>
      </c>
      <c r="B370" s="30">
        <v>44068</v>
      </c>
      <c r="C370" s="24"/>
      <c r="D370" s="32" t="s">
        <v>1</v>
      </c>
    </row>
    <row r="371" spans="1:4" ht="12.75">
      <c r="A371" s="26" t="s">
        <v>2</v>
      </c>
      <c r="B371" s="26" t="s">
        <v>3</v>
      </c>
      <c r="C371" s="26" t="s">
        <v>4</v>
      </c>
      <c r="D371" s="26" t="s">
        <v>5</v>
      </c>
    </row>
    <row r="372" spans="1:4" ht="12.75">
      <c r="A372" s="7" t="s">
        <v>3016</v>
      </c>
      <c r="B372" s="8">
        <v>145</v>
      </c>
      <c r="C372" s="9" t="s">
        <v>3015</v>
      </c>
      <c r="D372" s="7">
        <v>2004</v>
      </c>
    </row>
    <row r="373" spans="1:4" ht="12.75">
      <c r="A373" s="27" t="s">
        <v>3017</v>
      </c>
      <c r="B373" s="28">
        <v>120</v>
      </c>
      <c r="C373" s="29" t="s">
        <v>3018</v>
      </c>
      <c r="D373" s="27">
        <v>2015</v>
      </c>
    </row>
    <row r="374" spans="1:4" ht="12.75">
      <c r="A374" s="7" t="s">
        <v>3019</v>
      </c>
      <c r="B374" s="8">
        <v>117</v>
      </c>
      <c r="C374" s="9" t="s">
        <v>3020</v>
      </c>
      <c r="D374" s="7">
        <v>2006</v>
      </c>
    </row>
    <row r="375" spans="1:4" ht="12.75">
      <c r="A375" s="27" t="s">
        <v>3021</v>
      </c>
      <c r="B375" s="28">
        <v>114</v>
      </c>
      <c r="C375" s="29" t="s">
        <v>3020</v>
      </c>
      <c r="D375" s="27">
        <v>2006</v>
      </c>
    </row>
    <row r="376" spans="1:4" ht="12.75">
      <c r="A376" s="7" t="s">
        <v>3022</v>
      </c>
      <c r="B376" s="8">
        <v>110</v>
      </c>
      <c r="C376" s="9" t="s">
        <v>3020</v>
      </c>
      <c r="D376" s="7">
        <v>2006</v>
      </c>
    </row>
    <row r="377" spans="1:4" ht="12.75">
      <c r="A377" s="27" t="s">
        <v>754</v>
      </c>
      <c r="B377" s="28">
        <v>110</v>
      </c>
      <c r="C377" s="29" t="s">
        <v>3015</v>
      </c>
      <c r="D377" s="27">
        <v>2004</v>
      </c>
    </row>
    <row r="378" spans="1:4" ht="12.75">
      <c r="A378" s="7" t="s">
        <v>3023</v>
      </c>
      <c r="B378" s="8">
        <v>101</v>
      </c>
      <c r="C378" s="9" t="s">
        <v>3018</v>
      </c>
      <c r="D378" s="7">
        <v>2015</v>
      </c>
    </row>
    <row r="379" spans="1:4" ht="12.75">
      <c r="A379" s="27" t="s">
        <v>3024</v>
      </c>
      <c r="B379" s="28">
        <v>80</v>
      </c>
      <c r="C379" s="29" t="s">
        <v>3020</v>
      </c>
      <c r="D379" s="27">
        <v>2006</v>
      </c>
    </row>
    <row r="380" spans="1:4" ht="12.75">
      <c r="A380" s="7" t="s">
        <v>3025</v>
      </c>
      <c r="B380" s="8">
        <v>75</v>
      </c>
      <c r="C380" s="9" t="s">
        <v>3018</v>
      </c>
      <c r="D380" s="7">
        <v>2015</v>
      </c>
    </row>
    <row r="381" spans="1:4" ht="12.75">
      <c r="A381" s="27" t="s">
        <v>3026</v>
      </c>
      <c r="B381" s="28">
        <v>53</v>
      </c>
      <c r="C381" s="29" t="s">
        <v>3015</v>
      </c>
      <c r="D381" s="27">
        <v>2004</v>
      </c>
    </row>
    <row r="382" spans="1:4" ht="12.75">
      <c r="A382" s="152"/>
      <c r="B382" s="153"/>
      <c r="C382" s="153"/>
      <c r="D382" s="154"/>
    </row>
    <row r="383" spans="1:4" ht="18">
      <c r="A383" s="22" t="str">
        <f>HYPERLINK("https://www.reddit.com/r/indieheads/comments/3u3joi/top_ten_tuesday_real_estate/","Real Estate")</f>
        <v>Real Estate</v>
      </c>
      <c r="B383" s="23">
        <v>42332</v>
      </c>
      <c r="C383" s="24"/>
      <c r="D383" s="24"/>
    </row>
    <row r="384" spans="1:4" ht="12.75">
      <c r="A384" s="26" t="s">
        <v>2</v>
      </c>
      <c r="B384" s="26" t="s">
        <v>3</v>
      </c>
      <c r="C384" s="26" t="s">
        <v>4</v>
      </c>
      <c r="D384" s="26" t="s">
        <v>5</v>
      </c>
    </row>
    <row r="385" spans="1:4" ht="12.75">
      <c r="A385" s="9" t="str">
        <f>HYPERLINK("https://www.youtube.com/watch?v=4HWcViTXdYc","It's Real")</f>
        <v>It's Real</v>
      </c>
      <c r="B385" s="8">
        <v>212</v>
      </c>
      <c r="C385" s="9" t="str">
        <f>HYPERLINK("https://en.wikipedia.org/wiki/Days_(album)","Days")</f>
        <v>Days</v>
      </c>
      <c r="D385" s="7">
        <v>2011</v>
      </c>
    </row>
    <row r="386" spans="1:4" ht="12.75">
      <c r="A386" s="29" t="str">
        <f>HYPERLINK("https://www.youtube.com/watch?v=qzkx7ScbZ4I","Beach Comber")</f>
        <v>Beach Comber</v>
      </c>
      <c r="B386" s="28">
        <v>156</v>
      </c>
      <c r="C386" s="29" t="str">
        <f>HYPERLINK("https://en.wikipedia.org/wiki/Real_Estate_(album)","Real Estate")</f>
        <v>Real Estate</v>
      </c>
      <c r="D386" s="27">
        <v>2009</v>
      </c>
    </row>
    <row r="387" spans="1:4" ht="12.75">
      <c r="A387" s="9" t="str">
        <f>HYPERLINK("https://www.youtube.com/watch?v=MgsdblVq8wo","Talking Backwards")</f>
        <v>Talking Backwards</v>
      </c>
      <c r="B387" s="8">
        <v>155</v>
      </c>
      <c r="C387" s="9" t="str">
        <f t="shared" ref="C387:C388" si="28">HYPERLINK("https://en.wikipedia.org/wiki/Atlas_(Real_Estate_album)","Atlas")</f>
        <v>Atlas</v>
      </c>
      <c r="D387" s="7">
        <v>2014</v>
      </c>
    </row>
    <row r="388" spans="1:4" ht="12.75">
      <c r="A388" s="29" t="str">
        <f>HYPERLINK("https://www.youtube.com/watch?v=zTOCxexzEAQ","Had to Hear")</f>
        <v>Had to Hear</v>
      </c>
      <c r="B388" s="28">
        <v>145</v>
      </c>
      <c r="C388" s="29" t="str">
        <f t="shared" si="28"/>
        <v>Atlas</v>
      </c>
      <c r="D388" s="27">
        <v>2014</v>
      </c>
    </row>
    <row r="389" spans="1:4" ht="12.75">
      <c r="A389" s="9" t="str">
        <f>HYPERLINK("https://www.youtube.com/watch?v=eWhAR2y4Rs0","Green Aisles")</f>
        <v>Green Aisles</v>
      </c>
      <c r="B389" s="8">
        <v>124</v>
      </c>
      <c r="C389" s="9" t="str">
        <f t="shared" ref="C389:C390" si="29">HYPERLINK("https://en.wikipedia.org/wiki/Days_(album)","Days")</f>
        <v>Days</v>
      </c>
      <c r="D389" s="7">
        <v>2011</v>
      </c>
    </row>
    <row r="390" spans="1:4" ht="12.75">
      <c r="A390" s="29" t="str">
        <f>HYPERLINK("https://www.youtube.com/watch?v=fewVRtkf8_o","Easy")</f>
        <v>Easy</v>
      </c>
      <c r="B390" s="28">
        <v>116</v>
      </c>
      <c r="C390" s="29" t="str">
        <f t="shared" si="29"/>
        <v>Days</v>
      </c>
      <c r="D390" s="27">
        <v>2011</v>
      </c>
    </row>
    <row r="391" spans="1:4" ht="12.75">
      <c r="A391" s="9" t="str">
        <f>HYPERLINK("https://www.youtube.com/watch?v=jBCs_xNntMk","Crime")</f>
        <v>Crime</v>
      </c>
      <c r="B391" s="8">
        <v>111</v>
      </c>
      <c r="C391" s="9" t="str">
        <f>HYPERLINK("https://en.wikipedia.org/wiki/Atlas_(Real_Estate_album)","Atlas")</f>
        <v>Atlas</v>
      </c>
      <c r="D391" s="7">
        <v>2014</v>
      </c>
    </row>
    <row r="392" spans="1:4" ht="12.75">
      <c r="A392" s="12" t="str">
        <f>HYPERLINK("https://www.youtube.com/watch?v=2VXWXBQ-vS4","Out of Tune")</f>
        <v>Out of Tune</v>
      </c>
      <c r="B392" s="11">
        <v>92</v>
      </c>
      <c r="C392" s="12" t="str">
        <f>HYPERLINK("https://en.wikipedia.org/wiki/Days_(album)","Days")</f>
        <v>Days</v>
      </c>
      <c r="D392" s="10">
        <v>2011</v>
      </c>
    </row>
    <row r="393" spans="1:4" ht="12.75">
      <c r="A393" s="9" t="str">
        <f>HYPERLINK("https://www.youtube.com/watch?v=a0C22Ms5N1Q","Snow Days")</f>
        <v>Snow Days</v>
      </c>
      <c r="B393" s="8">
        <v>86</v>
      </c>
      <c r="C393" s="9" t="str">
        <f>HYPERLINK("https://en.wikipedia.org/wiki/Real_Estate_(album)","Real Estate")</f>
        <v>Real Estate</v>
      </c>
      <c r="D393" s="7">
        <v>2009</v>
      </c>
    </row>
    <row r="394" spans="1:4" ht="12.75">
      <c r="A394" s="12" t="str">
        <f>HYPERLINK("https://www.youtube.com/watch?v=GmvPeiJZ9io","Municipality")</f>
        <v>Municipality</v>
      </c>
      <c r="B394" s="11">
        <v>86</v>
      </c>
      <c r="C394" s="12" t="str">
        <f>HYPERLINK("https://en.wikipedia.org/wiki/Days_(album)","Days")</f>
        <v>Days</v>
      </c>
      <c r="D394" s="10">
        <v>2011</v>
      </c>
    </row>
    <row r="395" spans="1:4" ht="12.75">
      <c r="A395" s="152"/>
      <c r="B395" s="153"/>
      <c r="C395" s="153"/>
      <c r="D395" s="154"/>
    </row>
    <row r="396" spans="1:4" ht="18">
      <c r="A396" s="2" t="str">
        <f>HYPERLINK("https://www.reddit.com/r/indieheads/comments/8n41tt/top_ten_tuesday_red_hot_chili_peppers/","Red Hot Chili Peppers")</f>
        <v>Red Hot Chili Peppers</v>
      </c>
      <c r="B396" s="3">
        <v>43250</v>
      </c>
      <c r="C396" s="4"/>
      <c r="D396" s="4"/>
    </row>
    <row r="397" spans="1:4" ht="12.75">
      <c r="A397" s="6" t="s">
        <v>2</v>
      </c>
      <c r="B397" s="6" t="s">
        <v>3</v>
      </c>
      <c r="C397" s="6" t="s">
        <v>4</v>
      </c>
      <c r="D397" s="6" t="s">
        <v>5</v>
      </c>
    </row>
    <row r="398" spans="1:4" ht="12.75">
      <c r="A398" s="7" t="s">
        <v>3027</v>
      </c>
      <c r="B398" s="8">
        <v>238</v>
      </c>
      <c r="C398" s="9" t="str">
        <f>HYPERLINK("https://en.wikipedia.org/wiki/Blood_Sugar_Sex_Magik","Blood Sugar Sex Magik")</f>
        <v>Blood Sugar Sex Magik</v>
      </c>
      <c r="D398" s="7">
        <v>1991</v>
      </c>
    </row>
    <row r="399" spans="1:4" ht="12.75">
      <c r="A399" s="10" t="s">
        <v>3028</v>
      </c>
      <c r="B399" s="11">
        <v>175</v>
      </c>
      <c r="C399" s="12" t="str">
        <f>HYPERLINK("https://en.wikipedia.org/wiki/Californication_(album)","Californication")</f>
        <v>Californication</v>
      </c>
      <c r="D399" s="10">
        <v>1999</v>
      </c>
    </row>
    <row r="400" spans="1:4" ht="12.75">
      <c r="A400" s="7" t="s">
        <v>3029</v>
      </c>
      <c r="B400" s="8">
        <v>173</v>
      </c>
      <c r="C400" s="9" t="str">
        <f>HYPERLINK("https://en.wikipedia.org/wiki/Stadium_Arcadium","Stadium Arcadium")</f>
        <v>Stadium Arcadium</v>
      </c>
      <c r="D400" s="7">
        <v>2006</v>
      </c>
    </row>
    <row r="401" spans="1:4" ht="12.75">
      <c r="A401" s="10" t="s">
        <v>3030</v>
      </c>
      <c r="B401" s="11">
        <v>162</v>
      </c>
      <c r="C401" s="10"/>
      <c r="D401" s="10">
        <v>1993</v>
      </c>
    </row>
    <row r="402" spans="1:4" ht="12.75">
      <c r="A402" s="7" t="s">
        <v>3031</v>
      </c>
      <c r="B402" s="8">
        <v>160</v>
      </c>
      <c r="C402" s="9" t="str">
        <f>HYPERLINK("https://en.wikipedia.org/wiki/By_the_Way","By the Way")</f>
        <v>By the Way</v>
      </c>
      <c r="D402" s="7">
        <v>2002</v>
      </c>
    </row>
    <row r="403" spans="1:4" ht="12.75">
      <c r="A403" s="10" t="s">
        <v>3032</v>
      </c>
      <c r="B403" s="11">
        <v>158</v>
      </c>
      <c r="C403" s="12" t="str">
        <f t="shared" ref="C403:C404" si="30">HYPERLINK("https://en.wikipedia.org/wiki/Californication_(album)","Californication")</f>
        <v>Californication</v>
      </c>
      <c r="D403" s="10">
        <v>1999</v>
      </c>
    </row>
    <row r="404" spans="1:4" ht="12.75">
      <c r="A404" s="7" t="s">
        <v>2775</v>
      </c>
      <c r="B404" s="8">
        <v>156</v>
      </c>
      <c r="C404" s="9" t="str">
        <f t="shared" si="30"/>
        <v>Californication</v>
      </c>
      <c r="D404" s="7">
        <v>1999</v>
      </c>
    </row>
    <row r="405" spans="1:4" ht="12.75">
      <c r="A405" s="10" t="s">
        <v>3033</v>
      </c>
      <c r="B405" s="11">
        <v>150</v>
      </c>
      <c r="C405" s="12" t="str">
        <f>HYPERLINK("https://en.wikipedia.org/wiki/Blood_Sugar_Sex_Magik","Blood Sugar Sex Magik")</f>
        <v>Blood Sugar Sex Magik</v>
      </c>
      <c r="D405" s="10">
        <v>1991</v>
      </c>
    </row>
    <row r="406" spans="1:4" ht="12.75">
      <c r="A406" s="7" t="s">
        <v>3034</v>
      </c>
      <c r="B406" s="8">
        <v>118</v>
      </c>
      <c r="C406" s="9" t="str">
        <f>HYPERLINK("https://en.wikipedia.org/wiki/Stadium_Arcadium","Stadium Arcadium")</f>
        <v>Stadium Arcadium</v>
      </c>
      <c r="D406" s="7">
        <v>2006</v>
      </c>
    </row>
    <row r="407" spans="1:4" ht="12.75">
      <c r="A407" s="10" t="s">
        <v>3035</v>
      </c>
      <c r="B407" s="11">
        <v>117</v>
      </c>
      <c r="C407" s="12" t="str">
        <f>HYPERLINK("https://en.wikipedia.org/wiki/Californication_(album)","Californication")</f>
        <v>Californication</v>
      </c>
      <c r="D407" s="10">
        <v>1999</v>
      </c>
    </row>
    <row r="408" spans="1:4" ht="12.75">
      <c r="A408" s="152"/>
      <c r="B408" s="153"/>
      <c r="C408" s="153"/>
      <c r="D408" s="154"/>
    </row>
    <row r="409" spans="1:4" ht="18">
      <c r="A409" s="2" t="str">
        <f>HYPERLINK("https://www.reddit.com/r/indieheads/comments/bj7udo/top_ten_tuesday_red_house_painters/","Red House Painters")</f>
        <v>Red House Painters</v>
      </c>
      <c r="B409" s="3">
        <v>43585</v>
      </c>
      <c r="C409" s="4"/>
      <c r="D409" s="5" t="s">
        <v>1</v>
      </c>
    </row>
    <row r="410" spans="1:4" ht="12.75">
      <c r="A410" s="6" t="s">
        <v>2</v>
      </c>
      <c r="B410" s="6" t="s">
        <v>3</v>
      </c>
      <c r="C410" s="6" t="s">
        <v>4</v>
      </c>
      <c r="D410" s="6" t="s">
        <v>5</v>
      </c>
    </row>
    <row r="411" spans="1:4" ht="12.75">
      <c r="A411" s="7" t="s">
        <v>3036</v>
      </c>
      <c r="B411" s="8">
        <v>180</v>
      </c>
      <c r="C411" s="9" t="str">
        <f t="shared" ref="C411:C412" si="31">HYPERLINK("https://en.wikipedia.org/wiki/Red_House_Painters_(Rollercoaster)","Rollercoaster")</f>
        <v>Rollercoaster</v>
      </c>
      <c r="D411" s="7">
        <v>1993</v>
      </c>
    </row>
    <row r="412" spans="1:4" ht="12.75">
      <c r="A412" s="10" t="s">
        <v>3037</v>
      </c>
      <c r="B412" s="11">
        <v>161</v>
      </c>
      <c r="C412" s="12" t="str">
        <f t="shared" si="31"/>
        <v>Rollercoaster</v>
      </c>
      <c r="D412" s="10">
        <v>1993</v>
      </c>
    </row>
    <row r="413" spans="1:4" ht="12.75">
      <c r="A413" s="7" t="s">
        <v>3038</v>
      </c>
      <c r="B413" s="8">
        <v>117</v>
      </c>
      <c r="C413" s="9" t="str">
        <f>HYPERLINK("https://en.wikipedia.org/wiki/Down_Colorful_Hill","Down Colorful Hill")</f>
        <v>Down Colorful Hill</v>
      </c>
      <c r="D413" s="7">
        <v>1992</v>
      </c>
    </row>
    <row r="414" spans="1:4" ht="12.75">
      <c r="A414" s="10" t="s">
        <v>3039</v>
      </c>
      <c r="B414" s="11">
        <v>104</v>
      </c>
      <c r="C414" s="12" t="str">
        <f>HYPERLINK("https://en.wikipedia.org/wiki/Songs_for_a_Blue_Guitar","Songs for a Blue Guitar")</f>
        <v>Songs for a Blue Guitar</v>
      </c>
      <c r="D414" s="10">
        <v>1995</v>
      </c>
    </row>
    <row r="415" spans="1:4" ht="12.75">
      <c r="A415" s="7" t="s">
        <v>3040</v>
      </c>
      <c r="B415" s="8">
        <v>96</v>
      </c>
      <c r="C415" s="9" t="str">
        <f>HYPERLINK("https://en.wikipedia.org/wiki/Red_House_Painters_(Rollercoaster)","Rollercoaster")</f>
        <v>Rollercoaster</v>
      </c>
      <c r="D415" s="7">
        <v>1993</v>
      </c>
    </row>
    <row r="416" spans="1:4" ht="12.75">
      <c r="A416" s="10" t="s">
        <v>3041</v>
      </c>
      <c r="B416" s="11">
        <v>82</v>
      </c>
      <c r="C416" s="12" t="str">
        <f>HYPERLINK("https://en.wikipedia.org/wiki/Down_Colorful_Hill","Down Colorful Hill")</f>
        <v>Down Colorful Hill</v>
      </c>
      <c r="D416" s="10">
        <v>1992</v>
      </c>
    </row>
    <row r="417" spans="1:4" ht="12.75">
      <c r="A417" s="7" t="s">
        <v>3042</v>
      </c>
      <c r="B417" s="8">
        <v>68</v>
      </c>
      <c r="C417" s="9" t="str">
        <f t="shared" ref="C417:C418" si="32">HYPERLINK("https://en.wikipedia.org/wiki/Ocean_Beach_(album)","Ocean Beach")</f>
        <v>Ocean Beach</v>
      </c>
      <c r="D417" s="7">
        <v>1995</v>
      </c>
    </row>
    <row r="418" spans="1:4" ht="12.75">
      <c r="A418" s="10" t="s">
        <v>3043</v>
      </c>
      <c r="B418" s="11">
        <v>57</v>
      </c>
      <c r="C418" s="12" t="str">
        <f t="shared" si="32"/>
        <v>Ocean Beach</v>
      </c>
      <c r="D418" s="10">
        <v>1995</v>
      </c>
    </row>
    <row r="419" spans="1:4" ht="12.75">
      <c r="A419" s="7" t="s">
        <v>3044</v>
      </c>
      <c r="B419" s="8">
        <v>57</v>
      </c>
      <c r="C419" s="9" t="str">
        <f>HYPERLINK("https://en.wikipedia.org/wiki/Down_Colorful_Hill","Down Colorful Hill")</f>
        <v>Down Colorful Hill</v>
      </c>
      <c r="D419" s="7">
        <v>1992</v>
      </c>
    </row>
    <row r="420" spans="1:4" ht="12.75">
      <c r="A420" s="10" t="s">
        <v>3045</v>
      </c>
      <c r="B420" s="11">
        <v>53</v>
      </c>
      <c r="C420" s="12" t="str">
        <f>HYPERLINK("https://en.wikipedia.org/wiki/Red_House_Painters_(Rollercoaster)","Rollercoaster")</f>
        <v>Rollercoaster</v>
      </c>
      <c r="D420" s="10">
        <v>1993</v>
      </c>
    </row>
    <row r="421" spans="1:4" ht="12.75">
      <c r="A421" s="152"/>
      <c r="B421" s="153"/>
      <c r="C421" s="153"/>
      <c r="D421" s="154"/>
    </row>
    <row r="422" spans="1:4" ht="18">
      <c r="A422" s="2" t="str">
        <f>HYPERLINK("https://www.reddit.com/r/indieheads/comments/7bcvlw/top_ten_tuesday_regina_spektor/","Regina Spektor")</f>
        <v>Regina Spektor</v>
      </c>
      <c r="B422" s="3">
        <v>43046</v>
      </c>
      <c r="C422" s="4"/>
      <c r="D422" s="4"/>
    </row>
    <row r="423" spans="1:4" ht="12.75">
      <c r="A423" s="6" t="s">
        <v>2</v>
      </c>
      <c r="B423" s="6" t="s">
        <v>3</v>
      </c>
      <c r="C423" s="6" t="s">
        <v>4</v>
      </c>
      <c r="D423" s="6" t="s">
        <v>5</v>
      </c>
    </row>
    <row r="424" spans="1:4" ht="12.75">
      <c r="A424" s="7" t="s">
        <v>3046</v>
      </c>
      <c r="B424" s="8">
        <v>187</v>
      </c>
      <c r="C424" s="9" t="str">
        <f>HYPERLINK("https://en.wikipedia.org/wiki/Soviet_Kitsch","Soviet Kitsch")</f>
        <v>Soviet Kitsch</v>
      </c>
      <c r="D424" s="7">
        <v>2004</v>
      </c>
    </row>
    <row r="425" spans="1:4" ht="12.75">
      <c r="A425" s="10" t="s">
        <v>3047</v>
      </c>
      <c r="B425" s="11">
        <v>135</v>
      </c>
      <c r="C425" s="12" t="str">
        <f>HYPERLINK("https://en.wikipedia.org/wiki/Songs_(Regina_Spektor_album)","Songs")</f>
        <v>Songs</v>
      </c>
      <c r="D425" s="10">
        <v>2001</v>
      </c>
    </row>
    <row r="426" spans="1:4" ht="12.75">
      <c r="A426" s="7" t="s">
        <v>3048</v>
      </c>
      <c r="B426" s="8">
        <v>99</v>
      </c>
      <c r="C426" s="9" t="str">
        <f t="shared" ref="C426:C428" si="33">HYPERLINK("https://en.wikipedia.org/wiki/Begin_to_Hope","Begin to Hope")</f>
        <v>Begin to Hope</v>
      </c>
      <c r="D426" s="7">
        <v>2006</v>
      </c>
    </row>
    <row r="427" spans="1:4" ht="12.75">
      <c r="A427" s="10" t="s">
        <v>3049</v>
      </c>
      <c r="B427" s="11">
        <v>64</v>
      </c>
      <c r="C427" s="12" t="str">
        <f t="shared" si="33"/>
        <v>Begin to Hope</v>
      </c>
      <c r="D427" s="10">
        <v>2006</v>
      </c>
    </row>
    <row r="428" spans="1:4" ht="12.75">
      <c r="A428" s="19" t="s">
        <v>2554</v>
      </c>
      <c r="B428" s="49">
        <v>64</v>
      </c>
      <c r="C428" s="9" t="str">
        <f t="shared" si="33"/>
        <v>Begin to Hope</v>
      </c>
      <c r="D428" s="19">
        <v>2006</v>
      </c>
    </row>
    <row r="429" spans="1:4" ht="12.75">
      <c r="A429" s="10" t="s">
        <v>3050</v>
      </c>
      <c r="B429" s="11">
        <v>57</v>
      </c>
      <c r="C429" s="12" t="str">
        <f>HYPERLINK("https://en.wikipedia.org/wiki/Soviet_Kitsch","Soviet Kitsch")</f>
        <v>Soviet Kitsch</v>
      </c>
      <c r="D429" s="10">
        <v>2004</v>
      </c>
    </row>
    <row r="430" spans="1:4" ht="12.75">
      <c r="A430" s="7" t="s">
        <v>3051</v>
      </c>
      <c r="B430" s="8">
        <v>53</v>
      </c>
      <c r="C430" s="9" t="str">
        <f>HYPERLINK("https://en.wikipedia.org/wiki/Far_(album)","Far")</f>
        <v>Far</v>
      </c>
      <c r="D430" s="7">
        <v>2009</v>
      </c>
    </row>
    <row r="431" spans="1:4" ht="12.75">
      <c r="A431" s="10" t="s">
        <v>3052</v>
      </c>
      <c r="B431" s="11">
        <v>49</v>
      </c>
      <c r="C431" s="12" t="str">
        <f t="shared" ref="C431:C432" si="34">HYPERLINK("https://en.wikipedia.org/wiki/Soviet_Kitsch","Soviet Kitsch")</f>
        <v>Soviet Kitsch</v>
      </c>
      <c r="D431" s="10">
        <v>2004</v>
      </c>
    </row>
    <row r="432" spans="1:4" ht="12.75">
      <c r="A432" s="7" t="s">
        <v>3053</v>
      </c>
      <c r="B432" s="8">
        <v>48</v>
      </c>
      <c r="C432" s="9" t="str">
        <f t="shared" si="34"/>
        <v>Soviet Kitsch</v>
      </c>
      <c r="D432" s="7">
        <v>2004</v>
      </c>
    </row>
    <row r="433" spans="1:4" ht="12.75">
      <c r="A433" s="10" t="s">
        <v>3054</v>
      </c>
      <c r="B433" s="11">
        <v>48</v>
      </c>
      <c r="C433" s="12" t="str">
        <f>HYPERLINK("https://en.wikipedia.org/wiki/Begin_to_Hope","Begin to Hope")</f>
        <v>Begin to Hope</v>
      </c>
      <c r="D433" s="10">
        <v>2006</v>
      </c>
    </row>
    <row r="434" spans="1:4" ht="12.75">
      <c r="A434" s="152"/>
      <c r="B434" s="153"/>
      <c r="C434" s="153"/>
      <c r="D434" s="154"/>
    </row>
    <row r="435" spans="1:4" ht="18">
      <c r="A435" s="2" t="str">
        <f>HYPERLINK("https://www.reddit.com/r/indieheads/comments/56xl2f/top_ten_tuesday_the_replacements/","The Replacements")</f>
        <v>The Replacements</v>
      </c>
      <c r="B435" s="105">
        <v>42654</v>
      </c>
      <c r="C435" s="4"/>
      <c r="D435" s="4"/>
    </row>
    <row r="436" spans="1:4" ht="12.75">
      <c r="A436" s="6" t="s">
        <v>2</v>
      </c>
      <c r="B436" s="6" t="s">
        <v>3</v>
      </c>
      <c r="C436" s="6" t="s">
        <v>4</v>
      </c>
      <c r="D436" s="6" t="s">
        <v>5</v>
      </c>
    </row>
    <row r="437" spans="1:4" ht="12.75">
      <c r="A437" s="7" t="s">
        <v>3055</v>
      </c>
      <c r="B437" s="8">
        <v>258</v>
      </c>
      <c r="C437" s="9" t="str">
        <f>HYPERLINK("https://en.wikipedia.org/wiki/Tim_(album)","Tim")</f>
        <v>Tim</v>
      </c>
      <c r="D437" s="7">
        <v>1985</v>
      </c>
    </row>
    <row r="438" spans="1:4" ht="12.75">
      <c r="A438" s="10" t="s">
        <v>3056</v>
      </c>
      <c r="B438" s="11">
        <v>258</v>
      </c>
      <c r="C438" s="12" t="str">
        <f>HYPERLINK("https://en.wikipedia.org/wiki/Let_It_Be_(The_Replacements_album)","Let It Be")</f>
        <v>Let It Be</v>
      </c>
      <c r="D438" s="10">
        <v>1984</v>
      </c>
    </row>
    <row r="439" spans="1:4" ht="12.75">
      <c r="A439" s="7" t="s">
        <v>3057</v>
      </c>
      <c r="B439" s="8">
        <v>248</v>
      </c>
      <c r="C439" s="9" t="str">
        <f>HYPERLINK("https://en.wikipedia.org/wiki/Pleased_to_Meet_Me","Please to Meet Me")</f>
        <v>Please to Meet Me</v>
      </c>
      <c r="D439" s="7">
        <v>1987</v>
      </c>
    </row>
    <row r="440" spans="1:4" ht="12.75">
      <c r="A440" s="10" t="s">
        <v>3058</v>
      </c>
      <c r="B440" s="11">
        <v>235</v>
      </c>
      <c r="C440" s="12" t="str">
        <f>HYPERLINK("https://en.wikipedia.org/wiki/Let_It_Be_(The_Replacements_album)","Let It Be")</f>
        <v>Let It Be</v>
      </c>
      <c r="D440" s="10">
        <v>1984</v>
      </c>
    </row>
    <row r="441" spans="1:4" ht="12.75">
      <c r="A441" s="7" t="s">
        <v>3059</v>
      </c>
      <c r="B441" s="8">
        <v>213</v>
      </c>
      <c r="C441" s="9" t="str">
        <f>HYPERLINK("https://en.wikipedia.org/wiki/Tim_(album)","Tim")</f>
        <v>Tim</v>
      </c>
      <c r="D441" s="7">
        <v>1985</v>
      </c>
    </row>
    <row r="442" spans="1:4" ht="12.75">
      <c r="A442" s="10" t="s">
        <v>3060</v>
      </c>
      <c r="B442" s="11">
        <v>208</v>
      </c>
      <c r="C442" s="12" t="str">
        <f>HYPERLINK("https://en.wikipedia.org/wiki/Let_It_Be_(The_Replacements_album)","Let It Be")</f>
        <v>Let It Be</v>
      </c>
      <c r="D442" s="10">
        <v>1984</v>
      </c>
    </row>
    <row r="443" spans="1:4" ht="12.75">
      <c r="A443" s="7" t="s">
        <v>3061</v>
      </c>
      <c r="B443" s="8">
        <v>208</v>
      </c>
      <c r="C443" s="9" t="str">
        <f>HYPERLINK("https://en.wikipedia.org/wiki/Pleased_to_Meet_Me","Please to Meet Me")</f>
        <v>Please to Meet Me</v>
      </c>
      <c r="D443" s="7">
        <v>1987</v>
      </c>
    </row>
    <row r="444" spans="1:4" ht="12.75">
      <c r="A444" s="10" t="s">
        <v>3062</v>
      </c>
      <c r="B444" s="11">
        <v>114</v>
      </c>
      <c r="C444" s="12" t="str">
        <f>HYPERLINK("https://en.wikipedia.org/wiki/Tim_(album)","Tim")</f>
        <v>Tim</v>
      </c>
      <c r="D444" s="10">
        <v>1985</v>
      </c>
    </row>
    <row r="445" spans="1:4" ht="12.75">
      <c r="A445" s="7" t="s">
        <v>3063</v>
      </c>
      <c r="B445" s="8">
        <v>84</v>
      </c>
      <c r="C445" s="9" t="str">
        <f>HYPERLINK("https://en.wikipedia.org/wiki/Let_It_Be_(The_Replacements_album)","Let It Be")</f>
        <v>Let It Be</v>
      </c>
      <c r="D445" s="7">
        <v>1984</v>
      </c>
    </row>
    <row r="446" spans="1:4" ht="12.75">
      <c r="A446" s="10" t="s">
        <v>3064</v>
      </c>
      <c r="B446" s="11">
        <v>64</v>
      </c>
      <c r="C446" s="12" t="str">
        <f>HYPERLINK("https://en.wikipedia.org/wiki/Tim_(album)","Tim")</f>
        <v>Tim</v>
      </c>
      <c r="D446" s="10">
        <v>1985</v>
      </c>
    </row>
    <row r="447" spans="1:4" ht="12.75">
      <c r="A447" s="152"/>
      <c r="B447" s="153"/>
      <c r="C447" s="153"/>
      <c r="D447" s="154"/>
    </row>
    <row r="448" spans="1:4" ht="18">
      <c r="A448" s="2" t="str">
        <f>HYPERLINK("https://www.reddit.com/r/indieheads/comments/eok1ma/top_ten_tuesday_ride/","Ride")</f>
        <v>Ride</v>
      </c>
      <c r="B448" s="3">
        <v>43844</v>
      </c>
      <c r="C448" s="4"/>
      <c r="D448" s="110" t="s">
        <v>1</v>
      </c>
    </row>
    <row r="449" spans="1:4" ht="12.75">
      <c r="A449" s="6" t="s">
        <v>2</v>
      </c>
      <c r="B449" s="6" t="s">
        <v>3</v>
      </c>
      <c r="C449" s="6" t="s">
        <v>4</v>
      </c>
      <c r="D449" s="6" t="s">
        <v>5</v>
      </c>
    </row>
    <row r="450" spans="1:4" ht="12.75">
      <c r="A450" s="7" t="s">
        <v>3065</v>
      </c>
      <c r="B450" s="8">
        <v>108</v>
      </c>
      <c r="C450" s="9" t="str">
        <f>HYPERLINK("https://en.wikipedia.org/wiki/Nowhere_(album)","Nowhere")</f>
        <v>Nowhere</v>
      </c>
      <c r="D450" s="7">
        <v>1990</v>
      </c>
    </row>
    <row r="451" spans="1:4" ht="12.75">
      <c r="A451" s="10" t="s">
        <v>3066</v>
      </c>
      <c r="B451" s="11">
        <v>98</v>
      </c>
      <c r="C451" s="12" t="str">
        <f>HYPERLINK("https://en.wikipedia.org/wiki/Going_Blank_Again","Going Blank Again")</f>
        <v>Going Blank Again</v>
      </c>
      <c r="D451" s="10">
        <v>1992</v>
      </c>
    </row>
    <row r="452" spans="1:4" ht="12.75">
      <c r="A452" s="7" t="s">
        <v>3067</v>
      </c>
      <c r="B452" s="8">
        <v>93</v>
      </c>
      <c r="C452" s="9" t="str">
        <f t="shared" ref="C452:C453" si="35">HYPERLINK("https://en.wikipedia.org/wiki/Nowhere_(album)","Nowhere")</f>
        <v>Nowhere</v>
      </c>
      <c r="D452" s="7">
        <v>1990</v>
      </c>
    </row>
    <row r="453" spans="1:4" ht="12.75">
      <c r="A453" s="10" t="s">
        <v>3068</v>
      </c>
      <c r="B453" s="11">
        <v>69</v>
      </c>
      <c r="C453" s="12" t="str">
        <f t="shared" si="35"/>
        <v>Nowhere</v>
      </c>
      <c r="D453" s="10">
        <v>1990</v>
      </c>
    </row>
    <row r="454" spans="1:4" ht="12.75">
      <c r="A454" s="7" t="s">
        <v>3069</v>
      </c>
      <c r="B454" s="8">
        <v>51</v>
      </c>
      <c r="C454" s="9" t="str">
        <f>HYPERLINK("https://en.wikipedia.org/wiki/Ride_(EP)","Ride EP")</f>
        <v>Ride EP</v>
      </c>
      <c r="D454" s="7">
        <v>1990</v>
      </c>
    </row>
    <row r="455" spans="1:4" ht="12.75">
      <c r="A455" s="10" t="s">
        <v>3070</v>
      </c>
      <c r="B455" s="11">
        <v>43</v>
      </c>
      <c r="C455" s="12" t="str">
        <f>HYPERLINK("https://en.wikipedia.org/wiki/Going_Blank_Again","Going Blank Again")</f>
        <v>Going Blank Again</v>
      </c>
      <c r="D455" s="10">
        <v>1992</v>
      </c>
    </row>
    <row r="456" spans="1:4" ht="12.75">
      <c r="A456" s="7" t="s">
        <v>3071</v>
      </c>
      <c r="B456" s="8">
        <v>43</v>
      </c>
      <c r="C456" s="9" t="str">
        <f>HYPERLINK("https://en.wikipedia.org/wiki/Nowhere_(album)","Nowhere")</f>
        <v>Nowhere</v>
      </c>
      <c r="D456" s="7">
        <v>1990</v>
      </c>
    </row>
    <row r="457" spans="1:4" ht="12.75">
      <c r="A457" s="10" t="s">
        <v>3072</v>
      </c>
      <c r="B457" s="11">
        <v>36</v>
      </c>
      <c r="C457" s="12" t="str">
        <f>HYPERLINK("https://en.wikipedia.org/wiki/Today_Forever","Today Forever EP")</f>
        <v>Today Forever EP</v>
      </c>
      <c r="D457" s="10">
        <v>1991</v>
      </c>
    </row>
    <row r="458" spans="1:4" ht="12.75">
      <c r="A458" s="7" t="s">
        <v>3073</v>
      </c>
      <c r="B458" s="8">
        <v>28</v>
      </c>
      <c r="C458" s="9" t="str">
        <f>HYPERLINK("https://en.wikipedia.org/wiki/Ride_(EP)","Ride EP")</f>
        <v>Ride EP</v>
      </c>
      <c r="D458" s="7">
        <v>1990</v>
      </c>
    </row>
    <row r="459" spans="1:4" ht="12.75">
      <c r="A459" s="10" t="s">
        <v>3074</v>
      </c>
      <c r="B459" s="11">
        <v>25</v>
      </c>
      <c r="C459" s="12" t="str">
        <f>HYPERLINK("https://en.wikipedia.org/wiki/Play_(EP)","Play EP")</f>
        <v>Play EP</v>
      </c>
      <c r="D459" s="10">
        <v>1990</v>
      </c>
    </row>
    <row r="460" spans="1:4" ht="12.75">
      <c r="A460" s="152"/>
      <c r="B460" s="153"/>
      <c r="C460" s="153"/>
      <c r="D460" s="154"/>
    </row>
    <row r="461" spans="1:4" ht="18">
      <c r="A461" s="2" t="s">
        <v>3075</v>
      </c>
      <c r="B461" s="105">
        <v>44131</v>
      </c>
      <c r="C461" s="4"/>
      <c r="D461" s="110" t="s">
        <v>1</v>
      </c>
    </row>
    <row r="462" spans="1:4" ht="12.75">
      <c r="A462" s="6" t="s">
        <v>2</v>
      </c>
      <c r="B462" s="6" t="s">
        <v>3</v>
      </c>
      <c r="C462" s="6" t="s">
        <v>4</v>
      </c>
      <c r="D462" s="6" t="s">
        <v>5</v>
      </c>
    </row>
    <row r="463" spans="1:4" ht="12.75">
      <c r="A463" s="7" t="s">
        <v>3076</v>
      </c>
      <c r="B463" s="8">
        <v>179</v>
      </c>
      <c r="C463" s="9" t="s">
        <v>3077</v>
      </c>
      <c r="D463" s="7">
        <v>2002</v>
      </c>
    </row>
    <row r="464" spans="1:4" ht="12.75">
      <c r="A464" s="10" t="s">
        <v>3078</v>
      </c>
      <c r="B464" s="11">
        <v>117</v>
      </c>
      <c r="C464" s="12" t="s">
        <v>3079</v>
      </c>
      <c r="D464" s="10">
        <v>2001</v>
      </c>
    </row>
    <row r="465" spans="1:4" ht="12.75">
      <c r="A465" s="7" t="s">
        <v>3080</v>
      </c>
      <c r="B465" s="8">
        <v>87</v>
      </c>
      <c r="C465" s="9" t="s">
        <v>3081</v>
      </c>
      <c r="D465" s="7">
        <v>2004</v>
      </c>
    </row>
    <row r="466" spans="1:4" ht="12.75">
      <c r="A466" s="10" t="s">
        <v>3082</v>
      </c>
      <c r="B466" s="11">
        <v>86</v>
      </c>
      <c r="C466" s="12" t="s">
        <v>3081</v>
      </c>
      <c r="D466" s="10">
        <v>2004</v>
      </c>
    </row>
    <row r="467" spans="1:4" ht="12.75">
      <c r="A467" s="7" t="s">
        <v>3083</v>
      </c>
      <c r="B467" s="8">
        <v>81</v>
      </c>
      <c r="C467" s="9" t="s">
        <v>3079</v>
      </c>
      <c r="D467" s="7">
        <v>2001</v>
      </c>
    </row>
    <row r="468" spans="1:4" ht="12.75">
      <c r="A468" s="10" t="s">
        <v>3077</v>
      </c>
      <c r="B468" s="11">
        <v>80</v>
      </c>
      <c r="C468" s="12" t="s">
        <v>3077</v>
      </c>
      <c r="D468" s="10">
        <v>2002</v>
      </c>
    </row>
    <row r="469" spans="1:4" ht="12.75">
      <c r="A469" s="7" t="s">
        <v>3081</v>
      </c>
      <c r="B469" s="8">
        <v>79</v>
      </c>
      <c r="C469" s="9" t="s">
        <v>3081</v>
      </c>
      <c r="D469" s="7">
        <v>2004</v>
      </c>
    </row>
    <row r="470" spans="1:4" ht="12.75">
      <c r="A470" s="10" t="s">
        <v>3084</v>
      </c>
      <c r="B470" s="11">
        <v>71</v>
      </c>
      <c r="C470" s="12" t="s">
        <v>3077</v>
      </c>
      <c r="D470" s="10">
        <v>2002</v>
      </c>
    </row>
    <row r="471" spans="1:4" ht="12.75">
      <c r="A471" s="7" t="s">
        <v>3954</v>
      </c>
      <c r="B471" s="8">
        <v>68</v>
      </c>
      <c r="C471" s="9" t="s">
        <v>3081</v>
      </c>
      <c r="D471" s="7">
        <v>2004</v>
      </c>
    </row>
    <row r="472" spans="1:4" ht="12.75">
      <c r="A472" s="10" t="s">
        <v>3085</v>
      </c>
      <c r="B472" s="11">
        <v>59</v>
      </c>
      <c r="C472" s="12" t="s">
        <v>3077</v>
      </c>
      <c r="D472" s="10">
        <v>2002</v>
      </c>
    </row>
    <row r="473" spans="1:4" ht="12.75">
      <c r="A473" s="152"/>
      <c r="B473" s="153"/>
      <c r="C473" s="153"/>
      <c r="D473" s="154"/>
    </row>
    <row r="474" spans="1:4" ht="18">
      <c r="A474" s="2" t="str">
        <f>HYPERLINK("https://www.reddit.com/r/indieheads/comments/75gfqw/top_ten_tuesday_the_rolling_stones/","The Rolling Stones")</f>
        <v>The Rolling Stones</v>
      </c>
      <c r="B474" s="105">
        <v>43018</v>
      </c>
      <c r="C474" s="4"/>
      <c r="D474" s="4"/>
    </row>
    <row r="475" spans="1:4" ht="12.75">
      <c r="A475" s="6" t="s">
        <v>2</v>
      </c>
      <c r="B475" s="6" t="s">
        <v>3</v>
      </c>
      <c r="C475" s="6" t="s">
        <v>4</v>
      </c>
      <c r="D475" s="6" t="s">
        <v>5</v>
      </c>
    </row>
    <row r="476" spans="1:4" ht="12.75">
      <c r="A476" s="7" t="s">
        <v>3086</v>
      </c>
      <c r="B476" s="8">
        <v>356</v>
      </c>
      <c r="C476" s="9" t="str">
        <f>HYPERLINK("https://en.wikipedia.org/wiki/Let_It_Bleed","Let It Bleed")</f>
        <v>Let It Bleed</v>
      </c>
      <c r="D476" s="7">
        <v>1969</v>
      </c>
    </row>
    <row r="477" spans="1:4" ht="12.75">
      <c r="A477" s="10" t="s">
        <v>3087</v>
      </c>
      <c r="B477" s="11">
        <v>293</v>
      </c>
      <c r="C477" s="12" t="str">
        <f>HYPERLINK("https://en.wikipedia.org/wiki/Beggars_Banquet","Beggars Banquet")</f>
        <v>Beggars Banquet</v>
      </c>
      <c r="D477" s="10">
        <v>1968</v>
      </c>
    </row>
    <row r="478" spans="1:4" ht="12.75">
      <c r="A478" s="7" t="s">
        <v>3088</v>
      </c>
      <c r="B478" s="8">
        <v>196</v>
      </c>
      <c r="C478" s="9" t="str">
        <f>HYPERLINK("https://en.wikipedia.org/wiki/Sticky_Fingers","Sticky Fingers")</f>
        <v>Sticky Fingers</v>
      </c>
      <c r="D478" s="7">
        <v>1971</v>
      </c>
    </row>
    <row r="479" spans="1:4" ht="12.75">
      <c r="A479" s="10" t="s">
        <v>3089</v>
      </c>
      <c r="B479" s="11">
        <v>163</v>
      </c>
      <c r="C479" s="12" t="str">
        <f t="shared" ref="C479:C480" si="36">HYPERLINK("https://en.wikipedia.org/wiki/Exile_on_Main_St.","Exile on Main St.")</f>
        <v>Exile on Main St.</v>
      </c>
      <c r="D479" s="10">
        <v>1972</v>
      </c>
    </row>
    <row r="480" spans="1:4" ht="12.75">
      <c r="A480" s="7" t="s">
        <v>3090</v>
      </c>
      <c r="B480" s="8">
        <v>160</v>
      </c>
      <c r="C480" s="9" t="str">
        <f t="shared" si="36"/>
        <v>Exile on Main St.</v>
      </c>
      <c r="D480" s="7">
        <v>1972</v>
      </c>
    </row>
    <row r="481" spans="1:4" ht="12.75">
      <c r="A481" s="10" t="s">
        <v>3091</v>
      </c>
      <c r="B481" s="11">
        <v>148</v>
      </c>
      <c r="C481" s="12" t="str">
        <f>HYPERLINK("https://en.wikipedia.org/wiki/Some_Girls","Some Girls")</f>
        <v>Some Girls</v>
      </c>
      <c r="D481" s="10">
        <v>1978</v>
      </c>
    </row>
    <row r="482" spans="1:4" ht="12.75">
      <c r="A482" s="7" t="s">
        <v>3092</v>
      </c>
      <c r="B482" s="8">
        <v>142</v>
      </c>
      <c r="C482" s="9" t="str">
        <f>HYPERLINK("https://en.wikipedia.org/wiki/Aftermath_(The_Rolling_Stones_album)#North_American_version","Aftermath (U.S. version)")</f>
        <v>Aftermath (U.S. version)</v>
      </c>
      <c r="D482" s="7">
        <v>1966</v>
      </c>
    </row>
    <row r="483" spans="1:4" ht="12.75">
      <c r="A483" s="10" t="s">
        <v>3093</v>
      </c>
      <c r="B483" s="11">
        <v>131</v>
      </c>
      <c r="C483" s="12" t="str">
        <f>HYPERLINK("https://en.wikipedia.org/wiki/Let_It_Bleed","Let It Bleed")</f>
        <v>Let It Bleed</v>
      </c>
      <c r="D483" s="10">
        <v>1969</v>
      </c>
    </row>
    <row r="484" spans="1:4" ht="12.75">
      <c r="A484" s="7" t="s">
        <v>3094</v>
      </c>
      <c r="B484" s="8">
        <v>111</v>
      </c>
      <c r="C484" s="9" t="str">
        <f>HYPERLINK("https://en.wikipedia.org/wiki/Sticky_Fingers","Sticky Fingers")</f>
        <v>Sticky Fingers</v>
      </c>
      <c r="D484" s="7">
        <v>1971</v>
      </c>
    </row>
    <row r="485" spans="1:4" ht="12.75">
      <c r="A485" s="10" t="s">
        <v>1093</v>
      </c>
      <c r="B485" s="11">
        <v>104</v>
      </c>
      <c r="C485" s="12" t="str">
        <f>HYPERLINK("https://en.wikipedia.org/wiki/Out_of_Our_Heads#American_release","Out of Our Heads (U.S. version)")</f>
        <v>Out of Our Heads (U.S. version)</v>
      </c>
      <c r="D485" s="10">
        <v>1965</v>
      </c>
    </row>
    <row r="486" spans="1:4" ht="12.75">
      <c r="A486" s="152"/>
      <c r="B486" s="153"/>
      <c r="C486" s="153"/>
      <c r="D486" s="154"/>
    </row>
    <row r="487" spans="1:4" ht="18">
      <c r="A487" s="2" t="str">
        <f>HYPERLINK("https://www.reddit.com/r/indieheads/comments/adul2a/top_ten_tuesday_roxy_music/","Roxy Music")</f>
        <v>Roxy Music</v>
      </c>
      <c r="B487" s="3">
        <v>43473</v>
      </c>
      <c r="C487" s="4"/>
      <c r="D487" s="5" t="s">
        <v>1</v>
      </c>
    </row>
    <row r="488" spans="1:4" ht="12.75">
      <c r="A488" s="6" t="s">
        <v>2</v>
      </c>
      <c r="B488" s="6" t="s">
        <v>3</v>
      </c>
      <c r="C488" s="6" t="s">
        <v>4</v>
      </c>
      <c r="D488" s="6" t="s">
        <v>5</v>
      </c>
    </row>
    <row r="489" spans="1:4" ht="12.75">
      <c r="A489" s="7" t="s">
        <v>3095</v>
      </c>
      <c r="B489" s="8">
        <v>62</v>
      </c>
      <c r="C489" s="9" t="str">
        <f>HYPERLINK("https://en.wikipedia.org/wiki/Siren_(Roxy_Music_album)","Siren")</f>
        <v>Siren</v>
      </c>
      <c r="D489" s="7">
        <v>1975</v>
      </c>
    </row>
    <row r="490" spans="1:4" ht="12.75">
      <c r="A490" s="10" t="s">
        <v>3955</v>
      </c>
      <c r="B490" s="11">
        <v>62</v>
      </c>
      <c r="C490" s="12" t="str">
        <f>HYPERLINK("https://en.wikipedia.org/wiki/Roxy_Music_(album)","Roxy Music")</f>
        <v>Roxy Music</v>
      </c>
      <c r="D490" s="10">
        <v>1972</v>
      </c>
    </row>
    <row r="491" spans="1:4" ht="12.75">
      <c r="A491" s="7" t="s">
        <v>3096</v>
      </c>
      <c r="B491" s="8">
        <v>54</v>
      </c>
      <c r="C491" s="9" t="str">
        <f>HYPERLINK("https://en.wikipedia.org/wiki/Avalon_(Roxy_Music_album)","Avalon")</f>
        <v>Avalon</v>
      </c>
      <c r="D491" s="7">
        <v>1982</v>
      </c>
    </row>
    <row r="492" spans="1:4" ht="12.75">
      <c r="A492" s="10" t="s">
        <v>3097</v>
      </c>
      <c r="B492" s="11">
        <v>50</v>
      </c>
      <c r="C492" s="12" t="str">
        <f>HYPERLINK("https://en.wikipedia.org/wiki/Stranded_(album)","Stranded")</f>
        <v>Stranded</v>
      </c>
      <c r="D492" s="10">
        <v>1973</v>
      </c>
    </row>
    <row r="493" spans="1:4" ht="12.75">
      <c r="A493" s="7" t="s">
        <v>3098</v>
      </c>
      <c r="B493" s="8">
        <v>49</v>
      </c>
      <c r="C493" s="9" t="str">
        <f>HYPERLINK("https://en.wikipedia.org/wiki/For_Your_Pleasure","For Your Pleasure")</f>
        <v>For Your Pleasure</v>
      </c>
      <c r="D493" s="7">
        <v>1973</v>
      </c>
    </row>
    <row r="494" spans="1:4" ht="12.75">
      <c r="A494" s="10" t="s">
        <v>3099</v>
      </c>
      <c r="B494" s="11">
        <v>46</v>
      </c>
      <c r="C494" s="12" t="str">
        <f>HYPERLINK("https://en.wikipedia.org/wiki/Roxy_Music_(album)","Roxy Music")</f>
        <v>Roxy Music</v>
      </c>
      <c r="D494" s="10">
        <v>1972</v>
      </c>
    </row>
    <row r="495" spans="1:4" ht="12.75">
      <c r="A495" s="7" t="s">
        <v>3100</v>
      </c>
      <c r="B495" s="8">
        <v>43</v>
      </c>
      <c r="C495" s="9" t="str">
        <f>HYPERLINK("https://en.wikipedia.org/wiki/Stranded_(album)","Stranded")</f>
        <v>Stranded</v>
      </c>
      <c r="D495" s="7">
        <v>1973</v>
      </c>
    </row>
    <row r="496" spans="1:4" ht="12.75">
      <c r="A496" s="10" t="s">
        <v>3101</v>
      </c>
      <c r="B496" s="11">
        <v>43</v>
      </c>
      <c r="C496" s="12" t="str">
        <f>HYPERLINK("https://en.wikipedia.org/wiki/For_Your_Pleasure","For Your Pleasure")</f>
        <v>For Your Pleasure</v>
      </c>
      <c r="D496" s="10">
        <v>1973</v>
      </c>
    </row>
    <row r="497" spans="1:4" ht="12.75">
      <c r="A497" s="7" t="s">
        <v>3102</v>
      </c>
      <c r="B497" s="8">
        <v>33</v>
      </c>
      <c r="C497" s="9" t="str">
        <f>HYPERLINK("https://en.wikipedia.org/wiki/Country_Life_(Roxy_Music_album)","Country Life")</f>
        <v>Country Life</v>
      </c>
      <c r="D497" s="7">
        <v>1974</v>
      </c>
    </row>
    <row r="498" spans="1:4" ht="12.75">
      <c r="A498" s="10" t="s">
        <v>3103</v>
      </c>
      <c r="B498" s="11">
        <v>30</v>
      </c>
      <c r="C498" s="12" t="str">
        <f>HYPERLINK("https://en.wikipedia.org/wiki/Virginia_Plain","Virginia Plain")</f>
        <v>Virginia Plain</v>
      </c>
      <c r="D498" s="10">
        <v>1972</v>
      </c>
    </row>
    <row r="499" spans="1:4" ht="12.75">
      <c r="A499" s="152"/>
      <c r="B499" s="153"/>
      <c r="C499" s="153"/>
      <c r="D499" s="154"/>
    </row>
    <row r="500" spans="1:4" ht="18">
      <c r="A500" s="2" t="s">
        <v>3104</v>
      </c>
      <c r="B500" s="3">
        <v>44320</v>
      </c>
      <c r="C500" s="4"/>
      <c r="D500" s="5" t="s">
        <v>1</v>
      </c>
    </row>
    <row r="501" spans="1:4" ht="12.75">
      <c r="A501" s="4" t="s">
        <v>2</v>
      </c>
      <c r="B501" s="4" t="s">
        <v>3</v>
      </c>
      <c r="C501" s="4" t="s">
        <v>4</v>
      </c>
      <c r="D501" s="4" t="s">
        <v>5</v>
      </c>
    </row>
    <row r="502" spans="1:4" ht="12.75">
      <c r="A502" s="7" t="s">
        <v>3105</v>
      </c>
      <c r="B502" s="8">
        <v>241</v>
      </c>
      <c r="C502" s="9" t="s">
        <v>3106</v>
      </c>
      <c r="D502" s="7">
        <v>2014</v>
      </c>
    </row>
    <row r="503" spans="1:4" ht="12.75">
      <c r="A503" s="10" t="s">
        <v>3107</v>
      </c>
      <c r="B503" s="11">
        <v>180</v>
      </c>
      <c r="C503" s="12" t="s">
        <v>3108</v>
      </c>
      <c r="D503" s="10">
        <v>2020</v>
      </c>
    </row>
    <row r="504" spans="1:4" ht="12.75">
      <c r="A504" s="7" t="s">
        <v>3109</v>
      </c>
      <c r="B504" s="8">
        <v>161</v>
      </c>
      <c r="C504" s="9" t="s">
        <v>3106</v>
      </c>
      <c r="D504" s="7">
        <v>2014</v>
      </c>
    </row>
    <row r="505" spans="1:4" ht="12.75">
      <c r="A505" s="10" t="s">
        <v>3110</v>
      </c>
      <c r="B505" s="11">
        <v>119</v>
      </c>
      <c r="C505" s="12" t="s">
        <v>3111</v>
      </c>
      <c r="D505" s="10">
        <v>2016</v>
      </c>
    </row>
    <row r="506" spans="1:4" ht="12.75">
      <c r="A506" s="7" t="s">
        <v>3112</v>
      </c>
      <c r="B506" s="8">
        <v>116</v>
      </c>
      <c r="C506" s="9" t="s">
        <v>3108</v>
      </c>
      <c r="D506" s="7">
        <v>2020</v>
      </c>
    </row>
    <row r="507" spans="1:4" ht="12.75">
      <c r="A507" s="10" t="s">
        <v>3113</v>
      </c>
      <c r="B507" s="11">
        <v>116</v>
      </c>
      <c r="C507" s="12" t="s">
        <v>3106</v>
      </c>
      <c r="D507" s="10">
        <v>2014</v>
      </c>
    </row>
    <row r="508" spans="1:4" ht="12.75">
      <c r="A508" s="7" t="s">
        <v>3114</v>
      </c>
      <c r="B508" s="8">
        <v>104</v>
      </c>
      <c r="C508" s="9" t="s">
        <v>3106</v>
      </c>
      <c r="D508" s="7">
        <v>2014</v>
      </c>
    </row>
    <row r="509" spans="1:4" ht="12.75">
      <c r="A509" s="10" t="s">
        <v>3104</v>
      </c>
      <c r="B509" s="11">
        <v>95</v>
      </c>
      <c r="C509" s="12" t="s">
        <v>3104</v>
      </c>
      <c r="D509" s="10">
        <v>2013</v>
      </c>
    </row>
    <row r="510" spans="1:4" ht="12.75">
      <c r="A510" s="7" t="s">
        <v>3956</v>
      </c>
      <c r="B510" s="8">
        <v>92</v>
      </c>
      <c r="C510" s="9" t="s">
        <v>3111</v>
      </c>
      <c r="D510" s="7">
        <v>2016</v>
      </c>
    </row>
    <row r="511" spans="1:4" ht="12.75">
      <c r="A511" s="10" t="s">
        <v>3115</v>
      </c>
      <c r="B511" s="11">
        <v>83</v>
      </c>
      <c r="C511" s="12" t="s">
        <v>3106</v>
      </c>
      <c r="D511" s="10">
        <v>2014</v>
      </c>
    </row>
    <row r="512" spans="1:4" ht="12.75">
      <c r="A512" s="152"/>
      <c r="B512" s="153"/>
      <c r="C512" s="153"/>
      <c r="D512" s="154"/>
    </row>
    <row r="513" spans="1:4" ht="18">
      <c r="A513" s="2" t="str">
        <f>HYPERLINK("https://www.reddit.com/r/indieheads/comments/b5nlxa/top_ten_tuesday_scott_walker/","Scott Walker")</f>
        <v>Scott Walker</v>
      </c>
      <c r="B513" s="3">
        <v>43550</v>
      </c>
      <c r="C513" s="4"/>
      <c r="D513" s="5" t="s">
        <v>1</v>
      </c>
    </row>
    <row r="514" spans="1:4" ht="12.75">
      <c r="A514" s="6" t="s">
        <v>2</v>
      </c>
      <c r="B514" s="6" t="s">
        <v>3</v>
      </c>
      <c r="C514" s="6" t="s">
        <v>4</v>
      </c>
      <c r="D514" s="6" t="s">
        <v>5</v>
      </c>
    </row>
    <row r="515" spans="1:4" ht="12.75">
      <c r="A515" s="7" t="s">
        <v>3116</v>
      </c>
      <c r="B515" s="8">
        <v>115</v>
      </c>
      <c r="C515" s="9" t="str">
        <f>HYPERLINK("https://en.wikipedia.org/wiki/Tilt_(Scott_Walker_album)","Tilt")</f>
        <v>Tilt</v>
      </c>
      <c r="D515" s="7">
        <v>1995</v>
      </c>
    </row>
    <row r="516" spans="1:4" ht="12.75">
      <c r="A516" s="7" t="s">
        <v>3118</v>
      </c>
      <c r="B516" s="8">
        <v>92</v>
      </c>
      <c r="C516" s="9" t="str">
        <f>HYPERLINK("https://en.wikipedia.org/wiki/Scott_3","Scott 3")</f>
        <v>Scott 3</v>
      </c>
      <c r="D516" s="7">
        <v>1969</v>
      </c>
    </row>
    <row r="517" spans="1:4" ht="12.75">
      <c r="A517" s="10" t="s">
        <v>3119</v>
      </c>
      <c r="B517" s="11">
        <v>74</v>
      </c>
      <c r="C517" s="12" t="str">
        <f t="shared" ref="C517:C518" si="37">HYPERLINK("https://en.wikipedia.org/wiki/Scott_4","Scott 4")</f>
        <v>Scott 4</v>
      </c>
      <c r="D517" s="10">
        <v>1969</v>
      </c>
    </row>
    <row r="518" spans="1:4" ht="12.75">
      <c r="A518" s="7" t="s">
        <v>3120</v>
      </c>
      <c r="B518" s="8">
        <v>71</v>
      </c>
      <c r="C518" s="9" t="str">
        <f t="shared" si="37"/>
        <v>Scott 4</v>
      </c>
      <c r="D518" s="7">
        <v>1969</v>
      </c>
    </row>
    <row r="519" spans="1:4" ht="12.75">
      <c r="A519" s="10" t="s">
        <v>3121</v>
      </c>
      <c r="B519" s="11">
        <v>51</v>
      </c>
      <c r="C519" s="12" t="str">
        <f>HYPERLINK("https://en.wikipedia.org/wiki/Bish_Bosch","Bish Bosch")</f>
        <v>Bish Bosch</v>
      </c>
      <c r="D519" s="10">
        <v>2012</v>
      </c>
    </row>
    <row r="520" spans="1:4" ht="12.75">
      <c r="A520" s="7" t="s">
        <v>3122</v>
      </c>
      <c r="B520" s="8">
        <v>50</v>
      </c>
      <c r="C520" s="9" t="str">
        <f>HYPERLINK("https://en.wikipedia.org/wiki/Scott_2","Scott 2")</f>
        <v>Scott 2</v>
      </c>
      <c r="D520" s="7">
        <v>1968</v>
      </c>
    </row>
    <row r="521" spans="1:4" ht="12.75">
      <c r="A521" s="10" t="s">
        <v>3123</v>
      </c>
      <c r="B521" s="11">
        <v>45</v>
      </c>
      <c r="C521" s="12" t="str">
        <f>HYPERLINK("https://en.wikipedia.org/wiki/Scott_(album)","Scott")</f>
        <v>Scott</v>
      </c>
      <c r="D521" s="10">
        <v>1967</v>
      </c>
    </row>
    <row r="522" spans="1:4" ht="12.75">
      <c r="A522" s="7" t="s">
        <v>3124</v>
      </c>
      <c r="B522" s="8">
        <v>43</v>
      </c>
      <c r="C522" s="9" t="str">
        <f>HYPERLINK("https://en.wikipedia.org/wiki/The_Drift","The Drift")</f>
        <v>The Drift</v>
      </c>
      <c r="D522" s="7">
        <v>2006</v>
      </c>
    </row>
    <row r="523" spans="1:4" ht="12.75">
      <c r="A523" s="10" t="s">
        <v>3125</v>
      </c>
      <c r="B523" s="11">
        <v>42</v>
      </c>
      <c r="C523" s="12" t="str">
        <f>HYPERLINK("https://en.wikipedia.org/wiki/Scott_(album)","Scott")</f>
        <v>Scott</v>
      </c>
      <c r="D523" s="10">
        <v>1967</v>
      </c>
    </row>
    <row r="524" spans="1:4" ht="12.75">
      <c r="A524" s="10"/>
      <c r="B524" s="11"/>
      <c r="C524" s="12"/>
      <c r="D524" s="10"/>
    </row>
    <row r="525" spans="1:4" ht="18">
      <c r="A525" s="142" t="s">
        <v>3982</v>
      </c>
      <c r="B525" s="3">
        <v>43550</v>
      </c>
      <c r="C525" s="4"/>
      <c r="D525" s="5" t="s">
        <v>1</v>
      </c>
    </row>
    <row r="526" spans="1:4" ht="12.75">
      <c r="A526" s="6" t="s">
        <v>2</v>
      </c>
      <c r="B526" s="6" t="s">
        <v>3</v>
      </c>
      <c r="C526" s="6" t="s">
        <v>4</v>
      </c>
      <c r="D526" s="6" t="s">
        <v>5</v>
      </c>
    </row>
    <row r="527" spans="1:4" ht="12.75">
      <c r="A527" s="10" t="s">
        <v>3117</v>
      </c>
      <c r="B527" s="11">
        <v>100</v>
      </c>
      <c r="C527" s="12" t="str">
        <f>HYPERLINK("https://en.wikipedia.org/wiki/Nite_Flights_(album)","Nite Flights")</f>
        <v>Nite Flights</v>
      </c>
      <c r="D527" s="10">
        <v>1978</v>
      </c>
    </row>
    <row r="528" spans="1:4" ht="12.75">
      <c r="A528" s="152"/>
      <c r="B528" s="153"/>
      <c r="C528" s="153"/>
      <c r="D528" s="154"/>
    </row>
    <row r="529" spans="1:4" ht="18">
      <c r="A529" s="2" t="s">
        <v>3126</v>
      </c>
      <c r="B529" s="3">
        <v>44075</v>
      </c>
      <c r="C529" s="4"/>
      <c r="D529" s="5" t="s">
        <v>1</v>
      </c>
    </row>
    <row r="530" spans="1:4" ht="12.75">
      <c r="A530" s="6" t="s">
        <v>2</v>
      </c>
      <c r="B530" s="6" t="s">
        <v>3</v>
      </c>
      <c r="C530" s="6" t="s">
        <v>4</v>
      </c>
      <c r="D530" s="6" t="s">
        <v>5</v>
      </c>
    </row>
    <row r="531" spans="1:4" ht="12.75">
      <c r="A531" s="7" t="s">
        <v>3127</v>
      </c>
      <c r="B531" s="8">
        <v>65</v>
      </c>
      <c r="C531" s="9" t="s">
        <v>3128</v>
      </c>
      <c r="D531" s="7">
        <v>1990</v>
      </c>
    </row>
    <row r="532" spans="1:4" ht="12.75">
      <c r="A532" s="10" t="s">
        <v>3129</v>
      </c>
      <c r="B532" s="11">
        <v>55</v>
      </c>
      <c r="C532" s="12" t="s">
        <v>3130</v>
      </c>
      <c r="D532" s="10">
        <v>1994</v>
      </c>
    </row>
    <row r="533" spans="1:4" ht="12.75">
      <c r="A533" s="7" t="s">
        <v>3131</v>
      </c>
      <c r="B533" s="8">
        <v>50</v>
      </c>
      <c r="C533" s="9" t="s">
        <v>3130</v>
      </c>
      <c r="D533" s="7">
        <v>1994</v>
      </c>
    </row>
    <row r="534" spans="1:4" ht="12.75">
      <c r="A534" s="10" t="s">
        <v>3132</v>
      </c>
      <c r="B534" s="11">
        <v>45</v>
      </c>
      <c r="C534" s="12" t="s">
        <v>3133</v>
      </c>
      <c r="D534" s="10">
        <v>1991</v>
      </c>
    </row>
    <row r="535" spans="1:4" ht="12.75">
      <c r="A535" s="7" t="s">
        <v>3134</v>
      </c>
      <c r="B535" s="8">
        <v>44</v>
      </c>
      <c r="C535" s="9" t="s">
        <v>3130</v>
      </c>
      <c r="D535" s="7">
        <v>1994</v>
      </c>
    </row>
    <row r="536" spans="1:4" ht="12.75">
      <c r="A536" s="10" t="s">
        <v>3135</v>
      </c>
      <c r="B536" s="11">
        <v>33</v>
      </c>
      <c r="C536" s="12" t="s">
        <v>3136</v>
      </c>
      <c r="D536" s="10">
        <v>1993</v>
      </c>
    </row>
    <row r="537" spans="1:4" ht="12.75">
      <c r="A537" s="7" t="s">
        <v>3137</v>
      </c>
      <c r="B537" s="8">
        <v>33</v>
      </c>
      <c r="C537" s="9" t="s">
        <v>3130</v>
      </c>
      <c r="D537" s="7">
        <v>1994</v>
      </c>
    </row>
    <row r="538" spans="1:4" ht="12.75">
      <c r="A538" s="10" t="s">
        <v>3138</v>
      </c>
      <c r="B538" s="11">
        <v>23</v>
      </c>
      <c r="C538" s="12" t="s">
        <v>3139</v>
      </c>
      <c r="D538" s="10">
        <v>1996</v>
      </c>
    </row>
    <row r="539" spans="1:4" ht="12.75">
      <c r="A539" s="7" t="s">
        <v>3140</v>
      </c>
      <c r="B539" s="8">
        <v>23</v>
      </c>
      <c r="C539" s="9" t="s">
        <v>3130</v>
      </c>
      <c r="D539" s="7">
        <v>1994</v>
      </c>
    </row>
    <row r="540" spans="1:4" ht="12.75">
      <c r="A540" s="10" t="s">
        <v>3141</v>
      </c>
      <c r="B540" s="11">
        <v>20</v>
      </c>
      <c r="C540" s="12" t="s">
        <v>3130</v>
      </c>
      <c r="D540" s="10">
        <v>1994</v>
      </c>
    </row>
    <row r="541" spans="1:4" ht="12.75">
      <c r="A541" s="152"/>
      <c r="B541" s="153"/>
      <c r="C541" s="153"/>
      <c r="D541" s="154"/>
    </row>
    <row r="542" spans="1:4" ht="18">
      <c r="A542" s="2" t="str">
        <f>HYPERLINK("https://www.reddit.com/r/indieheads/comments/e8piot/top_ten_tuesday_sharon_van_etten/","Sharon Van Etten")</f>
        <v>Sharon Van Etten</v>
      </c>
      <c r="B542" s="105">
        <v>43809</v>
      </c>
      <c r="C542" s="4"/>
      <c r="D542" s="5" t="s">
        <v>1</v>
      </c>
    </row>
    <row r="543" spans="1:4" ht="12.75">
      <c r="A543" s="6" t="s">
        <v>2</v>
      </c>
      <c r="B543" s="6" t="s">
        <v>3</v>
      </c>
      <c r="C543" s="6" t="s">
        <v>4</v>
      </c>
      <c r="D543" s="6" t="s">
        <v>5</v>
      </c>
    </row>
    <row r="544" spans="1:4" ht="12.75">
      <c r="A544" s="7" t="s">
        <v>3142</v>
      </c>
      <c r="B544" s="8">
        <v>183</v>
      </c>
      <c r="C544" s="9" t="str">
        <f>HYPERLINK("https://en.wikipedia.org/wiki/Remind_Me_Tomorrow","Remind Me Tomorrow")</f>
        <v>Remind Me Tomorrow</v>
      </c>
      <c r="D544" s="7">
        <v>2019</v>
      </c>
    </row>
    <row r="545" spans="1:4" ht="12.75">
      <c r="A545" s="10" t="s">
        <v>3143</v>
      </c>
      <c r="B545" s="11">
        <v>118</v>
      </c>
      <c r="C545" s="12" t="str">
        <f t="shared" ref="C545:C546" si="38">HYPERLINK("https://en.wikipedia.org/wiki/Are_We_There","Are We There")</f>
        <v>Are We There</v>
      </c>
      <c r="D545" s="10">
        <v>2014</v>
      </c>
    </row>
    <row r="546" spans="1:4" ht="12.75">
      <c r="A546" s="7" t="s">
        <v>3144</v>
      </c>
      <c r="B546" s="8">
        <v>101</v>
      </c>
      <c r="C546" s="9" t="str">
        <f t="shared" si="38"/>
        <v>Are We There</v>
      </c>
      <c r="D546" s="7">
        <v>2014</v>
      </c>
    </row>
    <row r="547" spans="1:4" ht="12.75">
      <c r="A547" s="10" t="s">
        <v>3145</v>
      </c>
      <c r="B547" s="11">
        <v>87</v>
      </c>
      <c r="C547" s="12" t="str">
        <f>HYPERLINK("https://en.wikipedia.org/wiki/Tramp_(album)","Tramp")</f>
        <v>Tramp</v>
      </c>
      <c r="D547" s="10">
        <v>2012</v>
      </c>
    </row>
    <row r="548" spans="1:4" ht="12.75">
      <c r="A548" s="7" t="s">
        <v>3146</v>
      </c>
      <c r="B548" s="8">
        <v>79</v>
      </c>
      <c r="C548" s="9" t="str">
        <f>HYPERLINK("https://en.wikipedia.org/wiki/Remind_Me_Tomorrow","Remind Me Tomorrow")</f>
        <v>Remind Me Tomorrow</v>
      </c>
      <c r="D548" s="7">
        <v>2019</v>
      </c>
    </row>
    <row r="549" spans="1:4" ht="12.75">
      <c r="A549" s="10" t="s">
        <v>3147</v>
      </c>
      <c r="B549" s="11">
        <v>74</v>
      </c>
      <c r="C549" s="12" t="str">
        <f>HYPERLINK("https://en.wikipedia.org/wiki/Are_We_There","Are We There")</f>
        <v>Are We There</v>
      </c>
      <c r="D549" s="10">
        <v>2014</v>
      </c>
    </row>
    <row r="550" spans="1:4" ht="12.75">
      <c r="A550" s="7" t="s">
        <v>3148</v>
      </c>
      <c r="B550" s="8">
        <v>46</v>
      </c>
      <c r="C550" s="9" t="str">
        <f>HYPERLINK("https://en.wikipedia.org/wiki/Epic_(Sharon_Van_Etten_album)","Epic")</f>
        <v>Epic</v>
      </c>
      <c r="D550" s="7">
        <v>2010</v>
      </c>
    </row>
    <row r="551" spans="1:4" ht="12.75">
      <c r="A551" s="10" t="s">
        <v>3149</v>
      </c>
      <c r="B551" s="11">
        <v>43</v>
      </c>
      <c r="C551" s="12" t="str">
        <f>HYPERLINK("https://en.wikipedia.org/wiki/Remind_Me_Tomorrow","Remind Me Tomorrow")</f>
        <v>Remind Me Tomorrow</v>
      </c>
      <c r="D551" s="10">
        <v>2019</v>
      </c>
    </row>
    <row r="552" spans="1:4" ht="12.75">
      <c r="A552" s="7" t="s">
        <v>670</v>
      </c>
      <c r="B552" s="8">
        <v>41</v>
      </c>
      <c r="C552" s="9" t="str">
        <f t="shared" ref="C552:C553" si="39">HYPERLINK("https://en.wikipedia.org/wiki/Are_We_There","Are We There")</f>
        <v>Are We There</v>
      </c>
      <c r="D552" s="7">
        <v>2014</v>
      </c>
    </row>
    <row r="553" spans="1:4" ht="12.75">
      <c r="A553" s="10" t="s">
        <v>3150</v>
      </c>
      <c r="B553" s="11">
        <v>41</v>
      </c>
      <c r="C553" s="12" t="str">
        <f t="shared" si="39"/>
        <v>Are We There</v>
      </c>
      <c r="D553" s="10">
        <v>2014</v>
      </c>
    </row>
    <row r="554" spans="1:4" ht="12.75">
      <c r="A554" s="152"/>
      <c r="B554" s="153"/>
      <c r="C554" s="153"/>
      <c r="D554" s="154"/>
    </row>
    <row r="555" spans="1:4" ht="18">
      <c r="A555" s="22" t="str">
        <f>HYPERLINK("https://www.reddit.com/r/indieheads/comments/6qw01z/top_ten_tuesday_the_shins/","The Shins")</f>
        <v>The Shins</v>
      </c>
      <c r="B555" s="23">
        <v>42948</v>
      </c>
      <c r="C555" s="24"/>
      <c r="D555" s="24"/>
    </row>
    <row r="556" spans="1:4" ht="12.75">
      <c r="A556" s="26" t="s">
        <v>2</v>
      </c>
      <c r="B556" s="26" t="s">
        <v>3</v>
      </c>
      <c r="C556" s="26" t="s">
        <v>4</v>
      </c>
      <c r="D556" s="26" t="s">
        <v>5</v>
      </c>
    </row>
    <row r="557" spans="1:4" ht="12.75">
      <c r="A557" s="7" t="s">
        <v>3151</v>
      </c>
      <c r="B557" s="8">
        <v>443</v>
      </c>
      <c r="C557" s="9" t="str">
        <f>HYPERLINK("http://en.wikipedia.org/wiki/Wincing_the_Night_Away","Wincing the Night Away")</f>
        <v>Wincing the Night Away</v>
      </c>
      <c r="D557" s="7">
        <v>2007</v>
      </c>
    </row>
    <row r="558" spans="1:4" ht="12.75">
      <c r="A558" s="10" t="s">
        <v>3152</v>
      </c>
      <c r="B558" s="11">
        <v>337</v>
      </c>
      <c r="C558" s="12" t="str">
        <f>HYPERLINK("http://en.wikipedia.org/wiki/Oh,_Inverted_World","Oh, Inverted World")</f>
        <v>Oh, Inverted World</v>
      </c>
      <c r="D558" s="10">
        <v>2001</v>
      </c>
    </row>
    <row r="559" spans="1:4" ht="12.75">
      <c r="A559" s="7" t="s">
        <v>3153</v>
      </c>
      <c r="B559" s="8">
        <v>327</v>
      </c>
      <c r="C559" s="9" t="str">
        <f>HYPERLINK("http://en.wikipedia.org/wiki/Chutes_Too_Narrow","Chutes Too Narrow")</f>
        <v>Chutes Too Narrow</v>
      </c>
      <c r="D559" s="7">
        <v>2003</v>
      </c>
    </row>
    <row r="560" spans="1:4" ht="12.75">
      <c r="A560" s="27" t="s">
        <v>3154</v>
      </c>
      <c r="B560" s="28">
        <v>312</v>
      </c>
      <c r="C560" s="29" t="str">
        <f>HYPERLINK("http://en.wikipedia.org/wiki/Oh,_Inverted_World","Oh, Inverted World")</f>
        <v>Oh, Inverted World</v>
      </c>
      <c r="D560" s="27">
        <v>2001</v>
      </c>
    </row>
    <row r="561" spans="1:4" ht="12.75">
      <c r="A561" s="7" t="s">
        <v>3155</v>
      </c>
      <c r="B561" s="8">
        <v>274</v>
      </c>
      <c r="C561" s="9" t="str">
        <f t="shared" ref="C561:C562" si="40">HYPERLINK("http://en.wikipedia.org/wiki/Wincing_the_Night_Away","Wincing the Night Away")</f>
        <v>Wincing the Night Away</v>
      </c>
      <c r="D561" s="7">
        <v>2007</v>
      </c>
    </row>
    <row r="562" spans="1:4" ht="12.75">
      <c r="A562" s="27" t="s">
        <v>3156</v>
      </c>
      <c r="B562" s="28">
        <v>262</v>
      </c>
      <c r="C562" s="29" t="str">
        <f t="shared" si="40"/>
        <v>Wincing the Night Away</v>
      </c>
      <c r="D562" s="27">
        <v>2007</v>
      </c>
    </row>
    <row r="563" spans="1:4" ht="12.75">
      <c r="A563" s="7" t="s">
        <v>3157</v>
      </c>
      <c r="B563" s="8">
        <v>233</v>
      </c>
      <c r="C563" s="9" t="str">
        <f>HYPERLINK("http://en.wikipedia.org/wiki/Chutes_Too_Narrow","Chutes Too Narrow")</f>
        <v>Chutes Too Narrow</v>
      </c>
      <c r="D563" s="7">
        <v>2003</v>
      </c>
    </row>
    <row r="564" spans="1:4" ht="12.75">
      <c r="A564" s="27" t="s">
        <v>3158</v>
      </c>
      <c r="B564" s="28">
        <v>191</v>
      </c>
      <c r="C564" s="29" t="str">
        <f>HYPERLINK("http://en.wikipedia.org/wiki/Port_of_Morrow_(album)","Port of Morrow")</f>
        <v>Port of Morrow</v>
      </c>
      <c r="D564" s="27">
        <v>2012</v>
      </c>
    </row>
    <row r="565" spans="1:4" ht="12.75">
      <c r="A565" s="7" t="s">
        <v>3159</v>
      </c>
      <c r="B565" s="8">
        <v>151</v>
      </c>
      <c r="C565" s="9" t="str">
        <f>HYPERLINK("https://en.wikipedia.org/wiki/Chutes_Too_Narrow","Chutes Too Narrow")</f>
        <v>Chutes Too Narrow</v>
      </c>
      <c r="D565" s="7">
        <v>2003</v>
      </c>
    </row>
    <row r="566" spans="1:4" ht="12.75">
      <c r="A566" s="27" t="s">
        <v>3160</v>
      </c>
      <c r="B566" s="28">
        <v>151</v>
      </c>
      <c r="C566" s="29" t="str">
        <f>HYPERLINK("https://en.wikipedia.org/wiki/Wincing_the_Night_Away","Wincing the Night Away")</f>
        <v>Wincing the Night Away</v>
      </c>
      <c r="D566" s="27">
        <v>2007</v>
      </c>
    </row>
    <row r="567" spans="1:4" ht="12.75">
      <c r="A567" s="152"/>
      <c r="B567" s="153"/>
      <c r="C567" s="153"/>
      <c r="D567" s="154"/>
    </row>
    <row r="568" spans="1:4" ht="18">
      <c r="A568" s="22" t="str">
        <f>HYPERLINK("https://www.reddit.com/r/indieheads/comments/3e34l3/top_ten_tuesday_sigur_r%C3%B3s/","Sigur Rós")</f>
        <v>Sigur Rós</v>
      </c>
      <c r="B568" s="23">
        <v>42206</v>
      </c>
      <c r="C568" s="24"/>
      <c r="D568" s="32" t="s">
        <v>1</v>
      </c>
    </row>
    <row r="569" spans="1:4" ht="12.75">
      <c r="A569" s="26" t="s">
        <v>2</v>
      </c>
      <c r="B569" s="26" t="s">
        <v>3</v>
      </c>
      <c r="C569" s="26" t="s">
        <v>4</v>
      </c>
      <c r="D569" s="26" t="s">
        <v>5</v>
      </c>
    </row>
    <row r="570" spans="1:4" ht="12.75">
      <c r="A570" s="61" t="str">
        <f>HYPERLINK("https://www.youtube.com/watch?v=wlPtmws131o","Starálfur")</f>
        <v>Starálfur</v>
      </c>
      <c r="B570" s="8">
        <v>165</v>
      </c>
      <c r="C570" s="9" t="str">
        <f>HYPERLINK("https://en.wikipedia.org/wiki/%C3%81g%C3%A6tis_byrjun","Ágætis byrjun")</f>
        <v>Ágætis byrjun</v>
      </c>
      <c r="D570" s="7">
        <v>1999</v>
      </c>
    </row>
    <row r="571" spans="1:4" ht="12.75">
      <c r="A571" s="46" t="str">
        <f>HYPERLINK("https://www.youtube.com/watch?v=qN4s75Srcos","Untitled 8 (Popplagið)")</f>
        <v>Untitled 8 (Popplagið)</v>
      </c>
      <c r="B571" s="28">
        <v>165</v>
      </c>
      <c r="C571" s="29" t="str">
        <f>HYPERLINK("https://en.wikipedia.org/wiki/(_)_(album)","( )")</f>
        <v>( )</v>
      </c>
      <c r="D571" s="27">
        <v>2002</v>
      </c>
    </row>
    <row r="572" spans="1:4" ht="12.75">
      <c r="A572" s="61" t="str">
        <f>HYPERLINK("https://www.youtube.com/watch?v=rtemrZ7-pj0","Svefn-g-englar")</f>
        <v>Svefn-g-englar</v>
      </c>
      <c r="B572" s="8">
        <v>118</v>
      </c>
      <c r="C572" s="9" t="str">
        <f t="shared" ref="C572:C574" si="41">HYPERLINK("https://en.wikipedia.org/wiki/%C3%81g%C3%A6tis_byrjun","Ágætis byrjun")</f>
        <v>Ágætis byrjun</v>
      </c>
      <c r="D572" s="7">
        <v>1999</v>
      </c>
    </row>
    <row r="573" spans="1:4" ht="12.75">
      <c r="A573" s="46" t="str">
        <f>HYPERLINK("https://www.youtube.com/watch?v=akYuy2FMQk4","Viðrar vel til loftárása")</f>
        <v>Viðrar vel til loftárása</v>
      </c>
      <c r="B573" s="28">
        <v>102</v>
      </c>
      <c r="C573" s="12" t="str">
        <f t="shared" si="41"/>
        <v>Ágætis byrjun</v>
      </c>
      <c r="D573" s="27">
        <v>1999</v>
      </c>
    </row>
    <row r="574" spans="1:4" ht="12.75">
      <c r="A574" s="61" t="str">
        <f>HYPERLINK("https://www.youtube.com/watch?v=j2GjOC79gVI","Olsen Olsen")</f>
        <v>Olsen Olsen</v>
      </c>
      <c r="B574" s="8">
        <v>101</v>
      </c>
      <c r="C574" s="9" t="str">
        <f t="shared" si="41"/>
        <v>Ágætis byrjun</v>
      </c>
      <c r="D574" s="7">
        <v>1999</v>
      </c>
    </row>
    <row r="575" spans="1:4" ht="12.75">
      <c r="A575" s="46" t="str">
        <f>HYPERLINK("https://www.youtube.com/watch?v=Bz8iEJeh26E","Glósóli")</f>
        <v>Glósóli</v>
      </c>
      <c r="B575" s="28">
        <v>98</v>
      </c>
      <c r="C575" s="29" t="str">
        <f t="shared" ref="C575:C576" si="42">HYPERLINK("https://en.wikipedia.org/wiki/Takk...","Takk...")</f>
        <v>Takk...</v>
      </c>
      <c r="D575" s="27">
        <v>2005</v>
      </c>
    </row>
    <row r="576" spans="1:4" ht="12.75">
      <c r="A576" s="61" t="str">
        <f>HYPERLINK("https://www.youtube.com/watch?v=hnAwPeqrdAk","Hoppípolla")</f>
        <v>Hoppípolla</v>
      </c>
      <c r="B576" s="8">
        <v>88</v>
      </c>
      <c r="C576" s="9" t="str">
        <f t="shared" si="42"/>
        <v>Takk...</v>
      </c>
      <c r="D576" s="7">
        <v>2005</v>
      </c>
    </row>
    <row r="577" spans="1:4" ht="12.75">
      <c r="A577" s="46" t="str">
        <f>HYPERLINK("https://www.youtube.com/watch?v=IVLP-URFgQo","Untitled 1 (Vaka)")</f>
        <v>Untitled 1 (Vaka)</v>
      </c>
      <c r="B577" s="28">
        <v>85</v>
      </c>
      <c r="C577" s="29" t="str">
        <f>HYPERLINK("https://en.wikipedia.org/wiki/(_)_(album)","( )")</f>
        <v>( )</v>
      </c>
      <c r="D577" s="27">
        <v>2002</v>
      </c>
    </row>
    <row r="578" spans="1:4" ht="12.75">
      <c r="A578" s="61" t="str">
        <f>HYPERLINK("https://www.youtube.com/watch?v=DJV-u_Tt2nk","Ný batterí")</f>
        <v>Ný batterí</v>
      </c>
      <c r="B578" s="8">
        <v>49</v>
      </c>
      <c r="C578" s="9" t="str">
        <f>HYPERLINK("https://en.wikipedia.org/wiki/%C3%81g%C3%A6tis_byrjun","Ágætis byrjun")</f>
        <v>Ágætis byrjun</v>
      </c>
      <c r="D578" s="7">
        <v>1999</v>
      </c>
    </row>
    <row r="579" spans="1:4" ht="12.75">
      <c r="A579" s="46" t="str">
        <f>HYPERLINK("https://www.youtube.com/watch?v=UeuvegBZFuM","Untitled 3 (Samskeyti)")</f>
        <v>Untitled 3 (Samskeyti)</v>
      </c>
      <c r="B579" s="28">
        <v>46</v>
      </c>
      <c r="C579" s="29" t="str">
        <f>HYPERLINK("https://en.wikipedia.org/wiki/(_)_(album)","( )")</f>
        <v>( )</v>
      </c>
      <c r="D579" s="27">
        <v>2002</v>
      </c>
    </row>
    <row r="580" spans="1:4" ht="12.75">
      <c r="A580" s="152"/>
      <c r="B580" s="153"/>
      <c r="C580" s="153"/>
      <c r="D580" s="154"/>
    </row>
    <row r="581" spans="1:4" ht="18">
      <c r="A581" s="22" t="str">
        <f>HYPERLINK("https://www.reddit.com/r/indieheads/comments/cgueuu/top_ten_tuesday_silver_jews/","Silver Jews")</f>
        <v>Silver Jews</v>
      </c>
      <c r="B581" s="30">
        <v>43675</v>
      </c>
      <c r="C581" s="24"/>
      <c r="D581" s="32" t="s">
        <v>1</v>
      </c>
    </row>
    <row r="582" spans="1:4" ht="12.75">
      <c r="A582" s="26" t="s">
        <v>2</v>
      </c>
      <c r="B582" s="26" t="s">
        <v>3</v>
      </c>
      <c r="C582" s="26" t="s">
        <v>4</v>
      </c>
      <c r="D582" s="26" t="s">
        <v>5</v>
      </c>
    </row>
    <row r="583" spans="1:4" ht="12.75">
      <c r="A583" s="7" t="s">
        <v>3161</v>
      </c>
      <c r="B583" s="8">
        <v>167</v>
      </c>
      <c r="C583" s="9" t="str">
        <f t="shared" ref="C583:C584" si="43">HYPERLINK("https://en.wikipedia.org/wiki/American_Water_(album)","American Water")</f>
        <v>American Water</v>
      </c>
      <c r="D583" s="7">
        <v>1998</v>
      </c>
    </row>
    <row r="584" spans="1:4" ht="12.75">
      <c r="A584" s="27" t="s">
        <v>3162</v>
      </c>
      <c r="B584" s="28">
        <v>93</v>
      </c>
      <c r="C584" s="29" t="str">
        <f t="shared" si="43"/>
        <v>American Water</v>
      </c>
      <c r="D584" s="27">
        <v>1998</v>
      </c>
    </row>
    <row r="585" spans="1:4" ht="12.75">
      <c r="A585" s="7" t="s">
        <v>3163</v>
      </c>
      <c r="B585" s="8">
        <v>88</v>
      </c>
      <c r="C585" s="9" t="str">
        <f>HYPERLINK("https://en.wikipedia.org/wiki/The_Natural_Bridge","The Natural Bridge")</f>
        <v>The Natural Bridge</v>
      </c>
      <c r="D585" s="7">
        <v>1996</v>
      </c>
    </row>
    <row r="586" spans="1:4" ht="12.75">
      <c r="A586" s="27" t="s">
        <v>92</v>
      </c>
      <c r="B586" s="28">
        <v>83</v>
      </c>
      <c r="C586" s="29" t="str">
        <f>HYPERLINK("https://en.wikipedia.org/wiki/American_Water_(album)","American Water")</f>
        <v>American Water</v>
      </c>
      <c r="D586" s="27">
        <v>1998</v>
      </c>
    </row>
    <row r="587" spans="1:4" ht="12.75">
      <c r="A587" s="7" t="s">
        <v>3164</v>
      </c>
      <c r="B587" s="8">
        <v>77</v>
      </c>
      <c r="C587" s="9" t="str">
        <f>HYPERLINK("https://en.wikipedia.org/wiki/Starlite_Walker","Starlite Walker")</f>
        <v>Starlite Walker</v>
      </c>
      <c r="D587" s="7">
        <v>1994</v>
      </c>
    </row>
    <row r="588" spans="1:4" ht="12.75">
      <c r="A588" s="27" t="s">
        <v>3165</v>
      </c>
      <c r="B588" s="28">
        <v>61</v>
      </c>
      <c r="C588" s="29" t="str">
        <f>HYPERLINK("https://en.wikipedia.org/wiki/American_Water_(album)","American Water")</f>
        <v>American Water</v>
      </c>
      <c r="D588" s="27">
        <v>1998</v>
      </c>
    </row>
    <row r="589" spans="1:4" ht="12.75">
      <c r="A589" s="7" t="s">
        <v>3166</v>
      </c>
      <c r="B589" s="8">
        <v>56</v>
      </c>
      <c r="C589" s="9" t="str">
        <f>HYPERLINK("https://en.wikipedia.org/wiki/Tanglewood_Numbers","Tanglewood Numbers")</f>
        <v>Tanglewood Numbers</v>
      </c>
      <c r="D589" s="7">
        <v>2005</v>
      </c>
    </row>
    <row r="590" spans="1:4" ht="12.75">
      <c r="A590" s="27" t="s">
        <v>3167</v>
      </c>
      <c r="B590" s="28">
        <v>56</v>
      </c>
      <c r="C590" s="29" t="str">
        <f t="shared" ref="C590:C591" si="44">HYPERLINK("https://en.wikipedia.org/wiki/The_Natural_Bridge","The Natural Bridge")</f>
        <v>The Natural Bridge</v>
      </c>
      <c r="D590" s="27">
        <v>1996</v>
      </c>
    </row>
    <row r="591" spans="1:4" ht="12.75">
      <c r="A591" s="7" t="s">
        <v>3168</v>
      </c>
      <c r="B591" s="8">
        <v>56</v>
      </c>
      <c r="C591" s="9" t="str">
        <f t="shared" si="44"/>
        <v>The Natural Bridge</v>
      </c>
      <c r="D591" s="7">
        <v>1996</v>
      </c>
    </row>
    <row r="592" spans="1:4" ht="12.75">
      <c r="A592" s="27" t="s">
        <v>3169</v>
      </c>
      <c r="B592" s="28">
        <v>35</v>
      </c>
      <c r="C592" s="29" t="str">
        <f>HYPERLINK("https://en.wikipedia.org/wiki/Bright_Flight","Bright Flight")</f>
        <v>Bright Flight</v>
      </c>
      <c r="D592" s="27">
        <v>2001</v>
      </c>
    </row>
    <row r="593" spans="1:4" ht="12.75">
      <c r="A593" s="155"/>
      <c r="B593" s="156"/>
      <c r="C593" s="156"/>
      <c r="D593" s="156"/>
    </row>
    <row r="594" spans="1:4" ht="18">
      <c r="A594" s="13" t="s">
        <v>3170</v>
      </c>
      <c r="B594" s="14">
        <v>44964</v>
      </c>
      <c r="C594" s="15"/>
      <c r="D594" s="15"/>
    </row>
    <row r="595" spans="1:4" ht="12.75">
      <c r="A595" s="15" t="s">
        <v>2</v>
      </c>
      <c r="B595" s="15" t="s">
        <v>3</v>
      </c>
      <c r="C595" s="15" t="s">
        <v>4</v>
      </c>
      <c r="D595" s="15" t="s">
        <v>5</v>
      </c>
    </row>
    <row r="596" spans="1:4" ht="12.75">
      <c r="A596" s="16" t="s">
        <v>3171</v>
      </c>
      <c r="B596" s="16">
        <v>91</v>
      </c>
      <c r="C596" s="16" t="s">
        <v>3172</v>
      </c>
      <c r="D596" s="16">
        <v>2006</v>
      </c>
    </row>
    <row r="597" spans="1:4" ht="12.75">
      <c r="A597" s="17" t="s">
        <v>3173</v>
      </c>
      <c r="B597" s="17">
        <v>85</v>
      </c>
      <c r="C597" s="17" t="s">
        <v>3174</v>
      </c>
      <c r="D597" s="17">
        <v>2009</v>
      </c>
    </row>
    <row r="598" spans="1:4" ht="12.75">
      <c r="A598" s="16" t="s">
        <v>3175</v>
      </c>
      <c r="B598" s="16">
        <v>50</v>
      </c>
      <c r="C598" s="16" t="s">
        <v>3174</v>
      </c>
      <c r="D598" s="16">
        <v>2009</v>
      </c>
    </row>
    <row r="599" spans="1:4" ht="12.75">
      <c r="A599" s="17" t="s">
        <v>3176</v>
      </c>
      <c r="B599" s="17">
        <v>50</v>
      </c>
      <c r="C599" s="17" t="s">
        <v>3174</v>
      </c>
      <c r="D599" s="17">
        <v>2009</v>
      </c>
    </row>
    <row r="600" spans="1:4" ht="12.75">
      <c r="A600" s="16" t="s">
        <v>3177</v>
      </c>
      <c r="B600" s="16">
        <v>49</v>
      </c>
      <c r="C600" s="16" t="s">
        <v>3172</v>
      </c>
      <c r="D600" s="16">
        <v>2006</v>
      </c>
    </row>
    <row r="601" spans="1:4" ht="12.75">
      <c r="A601" s="17" t="s">
        <v>3178</v>
      </c>
      <c r="B601" s="17">
        <v>45</v>
      </c>
      <c r="C601" s="17" t="s">
        <v>3179</v>
      </c>
      <c r="D601" s="17">
        <v>2005</v>
      </c>
    </row>
    <row r="602" spans="1:4" ht="12.75">
      <c r="A602" s="16" t="s">
        <v>3180</v>
      </c>
      <c r="B602" s="16">
        <v>36</v>
      </c>
      <c r="C602" s="16" t="s">
        <v>3181</v>
      </c>
      <c r="D602" s="16">
        <v>2012</v>
      </c>
    </row>
    <row r="603" spans="1:4" ht="12.75">
      <c r="A603" s="17" t="s">
        <v>3182</v>
      </c>
      <c r="B603" s="17">
        <v>34</v>
      </c>
      <c r="C603" s="17" t="s">
        <v>3183</v>
      </c>
      <c r="D603" s="17">
        <v>2015</v>
      </c>
    </row>
    <row r="604" spans="1:4" ht="12.75">
      <c r="A604" s="16" t="s">
        <v>3184</v>
      </c>
      <c r="B604" s="16">
        <v>33</v>
      </c>
      <c r="C604" s="16" t="s">
        <v>3172</v>
      </c>
      <c r="D604" s="16">
        <v>2006</v>
      </c>
    </row>
    <row r="605" spans="1:4" ht="12.75">
      <c r="A605" s="17" t="s">
        <v>3185</v>
      </c>
      <c r="B605" s="17">
        <v>32</v>
      </c>
      <c r="C605" s="17" t="s">
        <v>3181</v>
      </c>
      <c r="D605" s="17">
        <v>2012</v>
      </c>
    </row>
    <row r="606" spans="1:4" ht="12.75">
      <c r="A606" s="152"/>
      <c r="B606" s="153"/>
      <c r="C606" s="153"/>
      <c r="D606" s="154"/>
    </row>
    <row r="607" spans="1:4" ht="18">
      <c r="A607" s="22" t="s">
        <v>3186</v>
      </c>
      <c r="B607" s="30">
        <v>44285</v>
      </c>
      <c r="C607" s="24"/>
      <c r="D607" s="32" t="s">
        <v>1</v>
      </c>
    </row>
    <row r="608" spans="1:4" ht="12.75">
      <c r="A608" s="26" t="s">
        <v>2</v>
      </c>
      <c r="B608" s="26" t="s">
        <v>3</v>
      </c>
      <c r="C608" s="26" t="s">
        <v>4</v>
      </c>
      <c r="D608" s="26" t="s">
        <v>5</v>
      </c>
    </row>
    <row r="609" spans="1:4" ht="12.75">
      <c r="A609" s="7" t="s">
        <v>3187</v>
      </c>
      <c r="B609" s="8">
        <v>211</v>
      </c>
      <c r="C609" s="9" t="s">
        <v>3188</v>
      </c>
      <c r="D609" s="7">
        <v>1981</v>
      </c>
    </row>
    <row r="610" spans="1:4" ht="12.75">
      <c r="A610" s="27" t="s">
        <v>3189</v>
      </c>
      <c r="B610" s="28">
        <v>123</v>
      </c>
      <c r="C610" s="29" t="s">
        <v>3190</v>
      </c>
      <c r="D610" s="27">
        <v>1985</v>
      </c>
    </row>
    <row r="611" spans="1:4" ht="12.75">
      <c r="A611" s="7" t="s">
        <v>3191</v>
      </c>
      <c r="B611" s="8">
        <v>109</v>
      </c>
      <c r="C611" s="7"/>
      <c r="D611" s="7">
        <v>1978</v>
      </c>
    </row>
    <row r="612" spans="1:4" ht="12.75">
      <c r="A612" s="27" t="s">
        <v>3192</v>
      </c>
      <c r="B612" s="28">
        <v>109</v>
      </c>
      <c r="C612" s="29" t="s">
        <v>3188</v>
      </c>
      <c r="D612" s="27">
        <v>1981</v>
      </c>
    </row>
    <row r="613" spans="1:4" ht="12.75">
      <c r="A613" s="7" t="s">
        <v>3193</v>
      </c>
      <c r="B613" s="8">
        <v>98</v>
      </c>
      <c r="C613" s="9" t="s">
        <v>3188</v>
      </c>
      <c r="D613" s="7">
        <v>1981</v>
      </c>
    </row>
    <row r="614" spans="1:4" ht="12.75">
      <c r="A614" s="27" t="s">
        <v>3194</v>
      </c>
      <c r="B614" s="28">
        <v>92</v>
      </c>
      <c r="C614" s="29" t="s">
        <v>3188</v>
      </c>
      <c r="D614" s="27">
        <v>1981</v>
      </c>
    </row>
    <row r="615" spans="1:4" ht="12.75">
      <c r="A615" s="7" t="s">
        <v>3195</v>
      </c>
      <c r="B615" s="8">
        <v>58</v>
      </c>
      <c r="C615" s="9" t="s">
        <v>3196</v>
      </c>
      <c r="D615" s="7">
        <v>1980</v>
      </c>
    </row>
    <row r="616" spans="1:4" ht="12.75">
      <c r="A616" s="27" t="s">
        <v>3197</v>
      </c>
      <c r="B616" s="28">
        <v>66</v>
      </c>
      <c r="C616" s="68" t="s">
        <v>3198</v>
      </c>
      <c r="D616" s="27">
        <v>1984</v>
      </c>
    </row>
    <row r="617" spans="1:4" ht="12.75">
      <c r="A617" s="7" t="s">
        <v>3199</v>
      </c>
      <c r="B617" s="8">
        <v>63</v>
      </c>
      <c r="C617" s="9" t="s">
        <v>3196</v>
      </c>
      <c r="D617" s="7">
        <v>1980</v>
      </c>
    </row>
    <row r="618" spans="1:4" ht="12.75">
      <c r="A618" s="27" t="s">
        <v>3200</v>
      </c>
      <c r="B618" s="28">
        <v>54</v>
      </c>
      <c r="C618" s="29" t="s">
        <v>3201</v>
      </c>
      <c r="D618" s="27">
        <v>1991</v>
      </c>
    </row>
    <row r="619" spans="1:4" ht="12.75">
      <c r="A619" s="152"/>
      <c r="B619" s="153"/>
      <c r="C619" s="153"/>
      <c r="D619" s="154"/>
    </row>
    <row r="620" spans="1:4" ht="18">
      <c r="A620" s="22" t="str">
        <f>HYPERLINK("https://www.reddit.com/r/indieheads/comments/57dpa4/our_top_ten_sleaterkinney_songs/","Sleater-Kinney")</f>
        <v>Sleater-Kinney</v>
      </c>
      <c r="B620" s="23">
        <v>42647</v>
      </c>
      <c r="C620" s="24"/>
      <c r="D620" s="24"/>
    </row>
    <row r="621" spans="1:4" ht="12.75">
      <c r="A621" s="26" t="s">
        <v>2</v>
      </c>
      <c r="B621" s="26" t="s">
        <v>3</v>
      </c>
      <c r="C621" s="26" t="s">
        <v>4</v>
      </c>
      <c r="D621" s="26" t="s">
        <v>5</v>
      </c>
    </row>
    <row r="622" spans="1:4" ht="12.75">
      <c r="A622" s="7" t="s">
        <v>3202</v>
      </c>
      <c r="B622" s="8">
        <v>127</v>
      </c>
      <c r="C622" s="9" t="str">
        <f>HYPERLINK("http://en.wikipedia.org/wiki/Dig_Me_Out","Dig Me Out")</f>
        <v>Dig Me Out</v>
      </c>
      <c r="D622" s="7">
        <v>1997</v>
      </c>
    </row>
    <row r="623" spans="1:4" ht="12.75">
      <c r="A623" s="10" t="s">
        <v>3203</v>
      </c>
      <c r="B623" s="11">
        <v>124</v>
      </c>
      <c r="C623" s="12" t="str">
        <f t="shared" ref="C623:C625" si="45">HYPERLINK("http://en.wikipedia.org/wiki/The_Woods_(album)","The Woods")</f>
        <v>The Woods</v>
      </c>
      <c r="D623" s="10">
        <v>2005</v>
      </c>
    </row>
    <row r="624" spans="1:4" ht="12.75">
      <c r="A624" s="7" t="s">
        <v>3204</v>
      </c>
      <c r="B624" s="8">
        <v>92</v>
      </c>
      <c r="C624" s="9" t="str">
        <f t="shared" si="45"/>
        <v>The Woods</v>
      </c>
      <c r="D624" s="7">
        <v>2005</v>
      </c>
    </row>
    <row r="625" spans="1:4" ht="12.75">
      <c r="A625" s="27" t="s">
        <v>3205</v>
      </c>
      <c r="B625" s="28">
        <v>89</v>
      </c>
      <c r="C625" s="29" t="str">
        <f t="shared" si="45"/>
        <v>The Woods</v>
      </c>
      <c r="D625" s="27">
        <v>2005</v>
      </c>
    </row>
    <row r="626" spans="1:4" ht="12.75">
      <c r="A626" s="7" t="s">
        <v>3206</v>
      </c>
      <c r="B626" s="8">
        <v>79</v>
      </c>
      <c r="C626" s="9" t="str">
        <f>HYPERLINK("http://en.wikipedia.org/wiki/Dig_Me_Out","Dig Me Out")</f>
        <v>Dig Me Out</v>
      </c>
      <c r="D626" s="7">
        <v>1997</v>
      </c>
    </row>
    <row r="627" spans="1:4" ht="12.75">
      <c r="A627" s="10" t="s">
        <v>3207</v>
      </c>
      <c r="B627" s="11">
        <v>73</v>
      </c>
      <c r="C627" s="12" t="str">
        <f>HYPERLINK("http://en.wikipedia.org/wiki/The_Woods_(album)","The Woods")</f>
        <v>The Woods</v>
      </c>
      <c r="D627" s="10">
        <v>2005</v>
      </c>
    </row>
    <row r="628" spans="1:4" ht="12.75">
      <c r="A628" s="7" t="s">
        <v>3208</v>
      </c>
      <c r="B628" s="8">
        <v>55</v>
      </c>
      <c r="C628" s="9" t="str">
        <f>HYPERLINK("http://en.wikipedia.org/wiki/One_Beat","One Beat")</f>
        <v>One Beat</v>
      </c>
      <c r="D628" s="7">
        <v>2002</v>
      </c>
    </row>
    <row r="629" spans="1:4" ht="12.75">
      <c r="A629" s="27" t="s">
        <v>3209</v>
      </c>
      <c r="B629" s="28">
        <v>49</v>
      </c>
      <c r="C629" s="29" t="str">
        <f>HYPERLINK("https://en.wikipedia.org/wiki/The_Hot_Rock_(album)","The Hot Rock")</f>
        <v>The Hot Rock</v>
      </c>
      <c r="D629" s="27">
        <v>1999</v>
      </c>
    </row>
    <row r="630" spans="1:4" ht="12.75">
      <c r="A630" s="7" t="s">
        <v>3210</v>
      </c>
      <c r="B630" s="8">
        <v>44</v>
      </c>
      <c r="C630" s="9" t="str">
        <f>HYPERLINK("https://en.wikipedia.org/wiki/Dig_Me_Out","Dig Me Out")</f>
        <v>Dig Me Out</v>
      </c>
      <c r="D630" s="7">
        <v>1997</v>
      </c>
    </row>
    <row r="631" spans="1:4" ht="12.75">
      <c r="A631" s="27" t="s">
        <v>3211</v>
      </c>
      <c r="B631" s="28">
        <v>41</v>
      </c>
      <c r="C631" s="29" t="str">
        <f>HYPERLINK("https://en.wikipedia.org/wiki/Call_the_Doctor","Call the Doctor")</f>
        <v>Call the Doctor</v>
      </c>
      <c r="D631" s="27">
        <v>1996</v>
      </c>
    </row>
    <row r="632" spans="1:4" ht="12.75">
      <c r="A632" s="152"/>
      <c r="B632" s="153"/>
      <c r="C632" s="153"/>
      <c r="D632" s="154"/>
    </row>
    <row r="633" spans="1:4" ht="18">
      <c r="A633" s="22" t="s">
        <v>3212</v>
      </c>
      <c r="B633" s="30">
        <v>44677</v>
      </c>
      <c r="C633" s="24"/>
      <c r="D633" s="32" t="s">
        <v>1</v>
      </c>
    </row>
    <row r="634" spans="1:4" ht="12.75">
      <c r="A634" s="26" t="s">
        <v>2</v>
      </c>
      <c r="B634" s="26" t="s">
        <v>3</v>
      </c>
      <c r="C634" s="26" t="s">
        <v>4</v>
      </c>
      <c r="D634" s="26" t="s">
        <v>5</v>
      </c>
    </row>
    <row r="635" spans="1:4" ht="12.75">
      <c r="A635" s="7" t="s">
        <v>3213</v>
      </c>
      <c r="B635" s="8">
        <v>206</v>
      </c>
      <c r="C635" s="9" t="s">
        <v>3214</v>
      </c>
      <c r="D635" s="7">
        <v>2010</v>
      </c>
    </row>
    <row r="636" spans="1:4" ht="12.75">
      <c r="A636" s="27" t="s">
        <v>3215</v>
      </c>
      <c r="B636" s="28">
        <v>205</v>
      </c>
      <c r="C636" s="29" t="s">
        <v>3214</v>
      </c>
      <c r="D636" s="27">
        <v>2010</v>
      </c>
    </row>
    <row r="637" spans="1:4" ht="12.75">
      <c r="A637" s="7" t="s">
        <v>3216</v>
      </c>
      <c r="B637" s="8">
        <v>185</v>
      </c>
      <c r="C637" s="9" t="s">
        <v>3214</v>
      </c>
      <c r="D637" s="7">
        <v>2010</v>
      </c>
    </row>
    <row r="638" spans="1:4" ht="12.75">
      <c r="A638" s="27" t="s">
        <v>3217</v>
      </c>
      <c r="B638" s="28">
        <v>133</v>
      </c>
      <c r="C638" s="29" t="s">
        <v>3214</v>
      </c>
      <c r="D638" s="27">
        <v>2010</v>
      </c>
    </row>
    <row r="639" spans="1:4" ht="12.75">
      <c r="A639" s="7" t="s">
        <v>3218</v>
      </c>
      <c r="B639" s="8">
        <v>112</v>
      </c>
      <c r="C639" s="9" t="s">
        <v>3219</v>
      </c>
      <c r="D639" s="7">
        <v>2021</v>
      </c>
    </row>
    <row r="640" spans="1:4" ht="12.75">
      <c r="A640" s="27" t="s">
        <v>3220</v>
      </c>
      <c r="B640" s="28">
        <v>96</v>
      </c>
      <c r="C640" s="29" t="s">
        <v>3214</v>
      </c>
      <c r="D640" s="27">
        <v>2010</v>
      </c>
    </row>
    <row r="641" spans="1:4" ht="12.75">
      <c r="A641" s="7" t="s">
        <v>3221</v>
      </c>
      <c r="B641" s="8">
        <v>90</v>
      </c>
      <c r="C641" s="9" t="s">
        <v>3222</v>
      </c>
      <c r="D641" s="7">
        <v>2012</v>
      </c>
    </row>
    <row r="642" spans="1:4" ht="12.75">
      <c r="A642" s="27" t="s">
        <v>2402</v>
      </c>
      <c r="B642" s="28">
        <v>67</v>
      </c>
      <c r="C642" s="29" t="s">
        <v>3214</v>
      </c>
      <c r="D642" s="27">
        <v>2010</v>
      </c>
    </row>
    <row r="643" spans="1:4" ht="12.75">
      <c r="A643" s="7" t="s">
        <v>3223</v>
      </c>
      <c r="B643" s="8">
        <v>61</v>
      </c>
      <c r="C643" s="9" t="s">
        <v>3214</v>
      </c>
      <c r="D643" s="7">
        <v>2010</v>
      </c>
    </row>
    <row r="644" spans="1:4" ht="12.75">
      <c r="A644" s="27" t="s">
        <v>3224</v>
      </c>
      <c r="B644" s="28">
        <v>56</v>
      </c>
      <c r="C644" s="12" t="s">
        <v>3222</v>
      </c>
      <c r="D644" s="10">
        <v>2012</v>
      </c>
    </row>
    <row r="645" spans="1:4" ht="12.75">
      <c r="A645" s="152"/>
      <c r="B645" s="153"/>
      <c r="C645" s="153"/>
      <c r="D645" s="154"/>
    </row>
    <row r="646" spans="1:4" ht="18">
      <c r="A646" s="22" t="str">
        <f>HYPERLINK("https://www.reddit.com/r/indieheads/comments/dey6n9/top_ten_tuesday_slowdive/","Slowdive")</f>
        <v>Slowdive</v>
      </c>
      <c r="B646" s="23">
        <v>43746</v>
      </c>
      <c r="C646" s="24"/>
      <c r="D646" s="32" t="s">
        <v>1</v>
      </c>
    </row>
    <row r="647" spans="1:4" ht="12.75">
      <c r="A647" s="26" t="s">
        <v>2</v>
      </c>
      <c r="B647" s="26" t="s">
        <v>3</v>
      </c>
      <c r="C647" s="26" t="s">
        <v>4</v>
      </c>
      <c r="D647" s="26" t="s">
        <v>5</v>
      </c>
    </row>
    <row r="648" spans="1:4" ht="12.75">
      <c r="A648" s="7" t="s">
        <v>3225</v>
      </c>
      <c r="B648" s="8">
        <v>342</v>
      </c>
      <c r="C648" s="9" t="str">
        <f t="shared" ref="C648:C650" si="46">HYPERLINK("https://en.wikipedia.org/wiki/Souvlaki_(album)","Souvlaki")</f>
        <v>Souvlaki</v>
      </c>
      <c r="D648" s="7">
        <v>1993</v>
      </c>
    </row>
    <row r="649" spans="1:4" ht="12.75">
      <c r="A649" s="27" t="s">
        <v>1209</v>
      </c>
      <c r="B649" s="28">
        <v>312</v>
      </c>
      <c r="C649" s="29" t="str">
        <f t="shared" si="46"/>
        <v>Souvlaki</v>
      </c>
      <c r="D649" s="27">
        <v>1993</v>
      </c>
    </row>
    <row r="650" spans="1:4" ht="12.75">
      <c r="A650" s="7" t="s">
        <v>3226</v>
      </c>
      <c r="B650" s="8">
        <v>235</v>
      </c>
      <c r="C650" s="9" t="str">
        <f t="shared" si="46"/>
        <v>Souvlaki</v>
      </c>
      <c r="D650" s="7">
        <v>1993</v>
      </c>
    </row>
    <row r="651" spans="1:4" ht="12.75">
      <c r="A651" s="27" t="s">
        <v>3227</v>
      </c>
      <c r="B651" s="28">
        <v>150</v>
      </c>
      <c r="C651" s="29" t="str">
        <f>HYPERLINK("https://en.wikipedia.org/wiki/Slowdive_(album)","Slowdive")</f>
        <v>Slowdive</v>
      </c>
      <c r="D651" s="27">
        <v>2017</v>
      </c>
    </row>
    <row r="652" spans="1:4" ht="12.75">
      <c r="A652" s="7" t="s">
        <v>3228</v>
      </c>
      <c r="B652" s="8">
        <v>140</v>
      </c>
      <c r="C652" s="9" t="str">
        <f t="shared" ref="C652:C653" si="47">HYPERLINK("https://en.wikipedia.org/wiki/Souvlaki_(album)","Souvlaki")</f>
        <v>Souvlaki</v>
      </c>
      <c r="D652" s="7">
        <v>1993</v>
      </c>
    </row>
    <row r="653" spans="1:4" ht="12.75">
      <c r="A653" s="27" t="s">
        <v>3229</v>
      </c>
      <c r="B653" s="28">
        <v>140</v>
      </c>
      <c r="C653" s="29" t="str">
        <f t="shared" si="47"/>
        <v>Souvlaki</v>
      </c>
      <c r="D653" s="27">
        <v>1993</v>
      </c>
    </row>
    <row r="654" spans="1:4" ht="12.75">
      <c r="A654" s="7" t="s">
        <v>3230</v>
      </c>
      <c r="B654" s="8">
        <v>129</v>
      </c>
      <c r="C654" s="9" t="str">
        <f>HYPERLINK("https://en.wikipedia.org/wiki/Just_for_a_Day","Just for a Day")</f>
        <v>Just for a Day</v>
      </c>
      <c r="D654" s="7">
        <v>1991</v>
      </c>
    </row>
    <row r="655" spans="1:4" ht="12.75">
      <c r="A655" s="27" t="s">
        <v>3231</v>
      </c>
      <c r="B655" s="28">
        <v>118</v>
      </c>
      <c r="C655" s="29" t="str">
        <f>HYPERLINK("https://en.wikipedia.org/wiki/Pygmalion_(album)","Pygmalion")</f>
        <v>Pygmalion</v>
      </c>
      <c r="D655" s="27">
        <v>1995</v>
      </c>
    </row>
    <row r="656" spans="1:4" ht="12.75">
      <c r="A656" s="7" t="s">
        <v>3232</v>
      </c>
      <c r="B656" s="8">
        <v>114</v>
      </c>
      <c r="C656" s="9" t="str">
        <f>HYPERLINK("https://en.wikipedia.org/wiki/Slowdive_(album)","Slowdive")</f>
        <v>Slowdive</v>
      </c>
      <c r="D656" s="7">
        <v>2017</v>
      </c>
    </row>
    <row r="657" spans="1:4" ht="12.75">
      <c r="A657" s="10" t="s">
        <v>3233</v>
      </c>
      <c r="B657" s="11">
        <v>91</v>
      </c>
      <c r="C657" s="12" t="str">
        <f>HYPERLINK("https://en.wikipedia.org/wiki/Souvlaki_(album)","Souvlaki")</f>
        <v>Souvlaki</v>
      </c>
      <c r="D657" s="10">
        <v>1993</v>
      </c>
    </row>
    <row r="658" spans="1:4" ht="12.75">
      <c r="A658" s="152"/>
      <c r="B658" s="153"/>
      <c r="C658" s="153"/>
      <c r="D658" s="154"/>
    </row>
    <row r="659" spans="1:4" ht="18">
      <c r="A659" s="22" t="str">
        <f>HYPERLINK("https://www.reddit.com/r/indieheads/comments/44xm84/top_ten_tuesday_the_smashing_pumpkins/","The Smashing Pumpkins")</f>
        <v>The Smashing Pumpkins</v>
      </c>
      <c r="B659" s="23">
        <v>42409</v>
      </c>
      <c r="C659" s="24"/>
      <c r="D659" s="24"/>
    </row>
    <row r="660" spans="1:4" ht="12.75">
      <c r="A660" s="26" t="s">
        <v>2</v>
      </c>
      <c r="B660" s="26" t="s">
        <v>3</v>
      </c>
      <c r="C660" s="26" t="s">
        <v>4</v>
      </c>
      <c r="D660" s="26" t="s">
        <v>5</v>
      </c>
    </row>
    <row r="661" spans="1:4" ht="12.75">
      <c r="A661" s="9" t="str">
        <f>HYPERLINK("https://www.youtube.com/watch?v=V6fQ2pgWQV4","1979")</f>
        <v>1979</v>
      </c>
      <c r="B661" s="8">
        <v>298</v>
      </c>
      <c r="C661" s="9" t="str">
        <f>HYPERLINK("https://en.wikipedia.org/wiki/Mellon_Collie_and_the_Infinite_Sadness","Mellon Collie and the Infinite Sadness")</f>
        <v>Mellon Collie and the Infinite Sadness</v>
      </c>
      <c r="D661" s="7">
        <v>1995</v>
      </c>
    </row>
    <row r="662" spans="1:4" ht="12.75">
      <c r="A662" s="29" t="str">
        <f>HYPERLINK("https://www.youtube.com/watch?v=MElfYleGIVU","Mayonaise")</f>
        <v>Mayonaise</v>
      </c>
      <c r="B662" s="28">
        <v>269</v>
      </c>
      <c r="C662" s="29" t="str">
        <f>HYPERLINK("https://en.wikipedia.org/wiki/Siamese_Dream","Siamese Dream")</f>
        <v>Siamese Dream</v>
      </c>
      <c r="D662" s="27">
        <v>1993</v>
      </c>
    </row>
    <row r="663" spans="1:4" ht="12.75">
      <c r="A663" s="9" t="str">
        <f>HYPERLINK("https://www.youtube.com/watch?v=q5NEjRdSee8","Tonight, Tonight")</f>
        <v>Tonight, Tonight</v>
      </c>
      <c r="B663" s="8">
        <v>192</v>
      </c>
      <c r="C663" s="9" t="str">
        <f>HYPERLINK("https://en.wikipedia.org/wiki/Mellon_Collie_and_the_Infinite_Sadness","Mellon Collie and the Infinite Sadness")</f>
        <v>Mellon Collie and the Infinite Sadness</v>
      </c>
      <c r="D663" s="7">
        <v>1995</v>
      </c>
    </row>
    <row r="664" spans="1:4" ht="12.75">
      <c r="A664" s="29" t="str">
        <f>HYPERLINK("https://www.youtube.com/watch?v=VbrfXDFuzu0","Cherub Rock")</f>
        <v>Cherub Rock</v>
      </c>
      <c r="B664" s="28">
        <v>162</v>
      </c>
      <c r="C664" s="29" t="str">
        <f t="shared" ref="C664:C669" si="48">HYPERLINK("https://en.wikipedia.org/wiki/Siamese_Dream","Siamese Dream")</f>
        <v>Siamese Dream</v>
      </c>
      <c r="D664" s="27">
        <v>1993</v>
      </c>
    </row>
    <row r="665" spans="1:4" ht="12.75">
      <c r="A665" s="9" t="str">
        <f>HYPERLINK("https://www.youtube.com/watch?v=eRb9oOhUOoE","Today")</f>
        <v>Today</v>
      </c>
      <c r="B665" s="8">
        <v>142</v>
      </c>
      <c r="C665" s="9" t="str">
        <f t="shared" si="48"/>
        <v>Siamese Dream</v>
      </c>
      <c r="D665" s="7">
        <v>1993</v>
      </c>
    </row>
    <row r="666" spans="1:4" ht="12.75">
      <c r="A666" s="29" t="str">
        <f>HYPERLINK("https://www.youtube.com/watch?v=1pcNP9JE0bs","Hummer")</f>
        <v>Hummer</v>
      </c>
      <c r="B666" s="28">
        <v>129</v>
      </c>
      <c r="C666" s="29" t="str">
        <f t="shared" si="48"/>
        <v>Siamese Dream</v>
      </c>
      <c r="D666" s="27">
        <v>1993</v>
      </c>
    </row>
    <row r="667" spans="1:4" ht="12.75">
      <c r="A667" s="9" t="str">
        <f>HYPERLINK("https://www.youtube.com/watch?v=Yr5_CFuzkK4","Disarm")</f>
        <v>Disarm</v>
      </c>
      <c r="B667" s="8">
        <v>84</v>
      </c>
      <c r="C667" s="9" t="str">
        <f t="shared" si="48"/>
        <v>Siamese Dream</v>
      </c>
      <c r="D667" s="7">
        <v>1993</v>
      </c>
    </row>
    <row r="668" spans="1:4" ht="12.75">
      <c r="A668" s="29" t="str">
        <f>HYPERLINK("https://www.youtube.com/watch?v=60J6HlvfePM","Soma")</f>
        <v>Soma</v>
      </c>
      <c r="B668" s="28">
        <v>79</v>
      </c>
      <c r="C668" s="29" t="str">
        <f t="shared" si="48"/>
        <v>Siamese Dream</v>
      </c>
      <c r="D668" s="27">
        <v>1993</v>
      </c>
    </row>
    <row r="669" spans="1:4" ht="12.75">
      <c r="A669" s="9" t="str">
        <f>HYPERLINK("https://www.youtube.com/watch?v=SjzFk5WLukQ","Rocket")</f>
        <v>Rocket</v>
      </c>
      <c r="B669" s="8">
        <v>77</v>
      </c>
      <c r="C669" s="9" t="str">
        <f t="shared" si="48"/>
        <v>Siamese Dream</v>
      </c>
      <c r="D669" s="7">
        <v>1993</v>
      </c>
    </row>
    <row r="670" spans="1:4" ht="12.75">
      <c r="A670" s="29" t="str">
        <f>HYPERLINK("https://www.youtube.com/watch?v=pGDzsds4Ll0","Drown")</f>
        <v>Drown</v>
      </c>
      <c r="B670" s="28">
        <v>69</v>
      </c>
      <c r="C670" s="29" t="str">
        <f>HYPERLINK("https://en.wikipedia.org/wiki/Singles:_Original_Motion_Picture_Soundtrack","Singles: Original Motion Picture Soundtrack")</f>
        <v>Singles: Original Motion Picture Soundtrack</v>
      </c>
      <c r="D670" s="27">
        <v>1992</v>
      </c>
    </row>
    <row r="671" spans="1:4" ht="12.75">
      <c r="A671" s="152"/>
      <c r="B671" s="153"/>
      <c r="C671" s="153"/>
      <c r="D671" s="154"/>
    </row>
    <row r="672" spans="1:4" ht="18">
      <c r="A672" s="22" t="str">
        <f>HYPERLINK("http://www.reddit.com/r/indieheads/comments/36j5yj/top_ten_tuesday_the_smiths/","The Smiths")</f>
        <v>The Smiths</v>
      </c>
      <c r="B672" s="23">
        <v>42143</v>
      </c>
      <c r="C672" s="24"/>
      <c r="D672" s="32" t="s">
        <v>1</v>
      </c>
    </row>
    <row r="673" spans="1:4" ht="12.75">
      <c r="A673" s="26" t="s">
        <v>2</v>
      </c>
      <c r="B673" s="26" t="s">
        <v>3</v>
      </c>
      <c r="C673" s="26" t="s">
        <v>4</v>
      </c>
      <c r="D673" s="26" t="s">
        <v>5</v>
      </c>
    </row>
    <row r="674" spans="1:4" ht="12.75">
      <c r="A674" s="61" t="str">
        <f>HYPERLINK("https://www.youtube.com/watch?v=n-cD4oLk_D0","There Is a Light That Never Goes Out")</f>
        <v>There Is a Light That Never Goes Out</v>
      </c>
      <c r="B674" s="8">
        <v>313</v>
      </c>
      <c r="C674" s="9" t="str">
        <f>HYPERLINK("http://en.wikipedia.org/wiki/The_Queen_Is_Dead","The Queen Is Dead")</f>
        <v>The Queen Is Dead</v>
      </c>
      <c r="D674" s="7">
        <v>1986</v>
      </c>
    </row>
    <row r="675" spans="1:4" ht="12.75">
      <c r="A675" s="46" t="str">
        <f>HYPERLINK("https://www.youtube.com/watch?v=cJRP3LRcUFg","This Charming Man")</f>
        <v>This Charming Man</v>
      </c>
      <c r="B675" s="28">
        <v>274</v>
      </c>
      <c r="C675" s="29" t="str">
        <f t="shared" ref="C675:C676" si="49">HYPERLINK("http://en.wikipedia.org/wiki/Hatful_of_Hollow","Hatful of Hollow")</f>
        <v>Hatful of Hollow</v>
      </c>
      <c r="D675" s="27">
        <v>1983</v>
      </c>
    </row>
    <row r="676" spans="1:4" ht="12.75">
      <c r="A676" s="61" t="str">
        <f>HYPERLINK("https://www.youtube.com/watch?v=pEq8DBxm0J4","How Soon Is Now?")</f>
        <v>How Soon Is Now?</v>
      </c>
      <c r="B676" s="8">
        <v>214</v>
      </c>
      <c r="C676" s="9" t="str">
        <f t="shared" si="49"/>
        <v>Hatful of Hollow</v>
      </c>
      <c r="D676" s="7">
        <v>1984</v>
      </c>
    </row>
    <row r="677" spans="1:4" ht="12.75">
      <c r="A677" s="46" t="str">
        <f>HYPERLINK("https://www.youtube.com/watch?v=VfD92YXC_00","I Know It's Over")</f>
        <v>I Know It's Over</v>
      </c>
      <c r="B677" s="28">
        <v>153</v>
      </c>
      <c r="C677" s="29" t="str">
        <f t="shared" ref="C677:C679" si="50">HYPERLINK("http://en.wikipedia.org/wiki/The_Queen_Is_Dead","The Queen Is Dead")</f>
        <v>The Queen Is Dead</v>
      </c>
      <c r="D677" s="27">
        <v>1986</v>
      </c>
    </row>
    <row r="678" spans="1:4" ht="12.75">
      <c r="A678" s="61" t="str">
        <f>HYPERLINK("https://www.youtube.com/watch?v=k63aGsqaF7c","Bigmouth Strikes Again")</f>
        <v>Bigmouth Strikes Again</v>
      </c>
      <c r="B678" s="8">
        <v>147</v>
      </c>
      <c r="C678" s="9" t="str">
        <f t="shared" si="50"/>
        <v>The Queen Is Dead</v>
      </c>
      <c r="D678" s="7">
        <v>1986</v>
      </c>
    </row>
    <row r="679" spans="1:4" ht="12.75">
      <c r="A679" s="46" t="str">
        <f>HYPERLINK("https://www.youtube.com/watch?v=4X44MszlEYs","The Boy With the Thorn In His Side")</f>
        <v>The Boy With the Thorn In His Side</v>
      </c>
      <c r="B679" s="28">
        <v>123</v>
      </c>
      <c r="C679" s="29" t="str">
        <f t="shared" si="50"/>
        <v>The Queen Is Dead</v>
      </c>
      <c r="D679" s="27">
        <v>1985</v>
      </c>
    </row>
    <row r="680" spans="1:4" ht="12.75">
      <c r="A680" s="61" t="str">
        <f>HYPERLINK("https://www.youtube.com/watch?v=TaUUYV7wKos","Heaven Knows I'm Miserable Now")</f>
        <v>Heaven Knows I'm Miserable Now</v>
      </c>
      <c r="B680" s="8">
        <v>119</v>
      </c>
      <c r="C680" s="9" t="str">
        <f>HYPERLINK("http://en.wikipedia.org/wiki/Hatful_of_Hollow","Hatful of Hollow")</f>
        <v>Hatful of Hollow</v>
      </c>
      <c r="D680" s="7">
        <v>1984</v>
      </c>
    </row>
    <row r="681" spans="1:4" ht="12.75">
      <c r="A681" s="46" t="str">
        <f>HYPERLINK("https://www.youtube.com/watch?v=Y9NFNH0f1eQ","Cemetry Gates")</f>
        <v>Cemetry Gates</v>
      </c>
      <c r="B681" s="28">
        <v>112</v>
      </c>
      <c r="C681" s="29" t="str">
        <f t="shared" ref="C681:C682" si="51">HYPERLINK("http://en.wikipedia.org/wiki/The_Queen_Is_Dead","The Queen Is Dead")</f>
        <v>The Queen Is Dead</v>
      </c>
      <c r="D681" s="27">
        <v>1986</v>
      </c>
    </row>
    <row r="682" spans="1:4" ht="12.75">
      <c r="A682" s="61" t="str">
        <f>HYPERLINK("https://www.youtube.com/watch?v=_xsRyII_PP8","The Queen Is Dead")</f>
        <v>The Queen Is Dead</v>
      </c>
      <c r="B682" s="8">
        <v>108</v>
      </c>
      <c r="C682" s="9" t="str">
        <f t="shared" si="51"/>
        <v>The Queen Is Dead</v>
      </c>
      <c r="D682" s="7">
        <v>1986</v>
      </c>
    </row>
    <row r="683" spans="1:4" ht="12.75">
      <c r="A683" s="46" t="str">
        <f>HYPERLINK("https://www.youtube.com/watch?v=GaoCEdZnyFk","Please, Please, Please, Let Me Get What I Want")</f>
        <v>Please, Please, Please, Let Me Get What I Want</v>
      </c>
      <c r="B683" s="28">
        <v>96</v>
      </c>
      <c r="C683" s="29" t="str">
        <f>HYPERLINK("http://en.wikipedia.org/wiki/Hatful_of_Hollow","Hatful of Hollow")</f>
        <v>Hatful of Hollow</v>
      </c>
      <c r="D683" s="27">
        <v>1984</v>
      </c>
    </row>
    <row r="684" spans="1:4" ht="12.75">
      <c r="A684" s="152"/>
      <c r="B684" s="153"/>
      <c r="C684" s="153"/>
      <c r="D684" s="154"/>
    </row>
    <row r="685" spans="1:4" ht="18.75" thickBot="1">
      <c r="A685" s="128" t="s">
        <v>3948</v>
      </c>
      <c r="B685" s="30">
        <v>43494</v>
      </c>
      <c r="C685" s="24"/>
      <c r="D685" s="32" t="s">
        <v>1</v>
      </c>
    </row>
    <row r="686" spans="1:4" ht="13.5" thickBot="1">
      <c r="A686" s="143" t="s">
        <v>3234</v>
      </c>
      <c r="B686" s="144">
        <v>163</v>
      </c>
      <c r="C686" s="145" t="s">
        <v>3992</v>
      </c>
      <c r="D686" s="144">
        <v>2003</v>
      </c>
    </row>
    <row r="687" spans="1:4" ht="13.5" thickBot="1">
      <c r="A687" s="146" t="s">
        <v>3235</v>
      </c>
      <c r="B687" s="147">
        <v>101</v>
      </c>
      <c r="C687" s="148" t="s">
        <v>3992</v>
      </c>
      <c r="D687" s="147">
        <v>2003</v>
      </c>
    </row>
    <row r="688" spans="1:4" ht="13.5" thickBot="1">
      <c r="A688" s="149" t="s">
        <v>3236</v>
      </c>
      <c r="B688" s="150">
        <v>94</v>
      </c>
      <c r="C688" s="151" t="s">
        <v>3992</v>
      </c>
      <c r="D688" s="150">
        <v>2003</v>
      </c>
    </row>
    <row r="689" spans="1:4" ht="13.5" thickBot="1">
      <c r="A689" s="146" t="s">
        <v>3237</v>
      </c>
      <c r="B689" s="147">
        <v>62</v>
      </c>
      <c r="C689" s="148" t="s">
        <v>3993</v>
      </c>
      <c r="D689" s="147">
        <v>1999</v>
      </c>
    </row>
    <row r="690" spans="1:4" ht="13.5" thickBot="1">
      <c r="A690" s="149" t="s">
        <v>3238</v>
      </c>
      <c r="B690" s="150">
        <v>57</v>
      </c>
      <c r="C690" s="151" t="s">
        <v>3994</v>
      </c>
      <c r="D690" s="150">
        <v>2000</v>
      </c>
    </row>
    <row r="691" spans="1:4" ht="13.5" thickBot="1">
      <c r="A691" s="146" t="s">
        <v>3239</v>
      </c>
      <c r="B691" s="147">
        <v>44</v>
      </c>
      <c r="C691" s="148" t="s">
        <v>3992</v>
      </c>
      <c r="D691" s="147">
        <v>2003</v>
      </c>
    </row>
    <row r="692" spans="1:4" ht="13.5" thickBot="1">
      <c r="A692" s="149" t="s">
        <v>3240</v>
      </c>
      <c r="B692" s="150">
        <v>40</v>
      </c>
      <c r="C692" s="151" t="s">
        <v>3994</v>
      </c>
      <c r="D692" s="150">
        <v>2000</v>
      </c>
    </row>
    <row r="693" spans="1:4" ht="13.5" thickBot="1">
      <c r="A693" s="146" t="s">
        <v>3241</v>
      </c>
      <c r="B693" s="147">
        <v>37</v>
      </c>
      <c r="C693" s="148" t="s">
        <v>3992</v>
      </c>
      <c r="D693" s="147">
        <v>2003</v>
      </c>
    </row>
    <row r="694" spans="1:4" ht="13.5" thickBot="1">
      <c r="A694" s="149" t="s">
        <v>3242</v>
      </c>
      <c r="B694" s="150">
        <v>36</v>
      </c>
      <c r="C694" s="151" t="s">
        <v>3994</v>
      </c>
      <c r="D694" s="150">
        <v>2000</v>
      </c>
    </row>
    <row r="695" spans="1:4" ht="13.5" thickBot="1">
      <c r="A695" s="146" t="s">
        <v>3243</v>
      </c>
      <c r="B695" s="147">
        <v>28</v>
      </c>
      <c r="C695" s="148" t="s">
        <v>3994</v>
      </c>
      <c r="D695" s="147">
        <v>2000</v>
      </c>
    </row>
    <row r="696" spans="1:4" ht="12.75">
      <c r="A696" s="152"/>
      <c r="B696" s="153"/>
      <c r="C696" s="153"/>
      <c r="D696" s="154"/>
    </row>
    <row r="697" spans="1:4" ht="18">
      <c r="A697" s="22" t="str">
        <f>HYPERLINK("http://www.reddit.com/r/indieheads/comments/2voi1w/top_ten_thursday_sonic_youth/","Sonic Youth")</f>
        <v>Sonic Youth</v>
      </c>
      <c r="B697" s="23">
        <v>42556</v>
      </c>
      <c r="C697" s="24"/>
      <c r="D697" s="24"/>
    </row>
    <row r="698" spans="1:4" ht="12.75">
      <c r="A698" s="26" t="s">
        <v>2</v>
      </c>
      <c r="B698" s="26" t="s">
        <v>3</v>
      </c>
      <c r="C698" s="26" t="s">
        <v>4</v>
      </c>
      <c r="D698" s="26" t="s">
        <v>5</v>
      </c>
    </row>
    <row r="699" spans="1:4" ht="12.75">
      <c r="A699" s="9" t="str">
        <f>HYPERLINK("https://www.youtube.com/watch?v=BKMD8vI1MaM","Teen Age Riot")</f>
        <v>Teen Age Riot</v>
      </c>
      <c r="B699" s="8">
        <v>296</v>
      </c>
      <c r="C699" s="9" t="str">
        <f>HYPERLINK("http://en.wikipedia.org/wiki/Daydream_Nation","Daydream Nation")</f>
        <v>Daydream Nation</v>
      </c>
      <c r="D699" s="7">
        <v>1988</v>
      </c>
    </row>
    <row r="700" spans="1:4" ht="12.75">
      <c r="A700" s="12" t="str">
        <f>HYPERLINK("https://www.youtube.com/watch?v=v_4e8Tq-CKQ","The Diamond Sea")</f>
        <v>The Diamond Sea</v>
      </c>
      <c r="B700" s="11">
        <v>177</v>
      </c>
      <c r="C700" s="12" t="str">
        <f>HYPERLINK("http://en.wikipedia.org/wiki/Washing_Machine_(album)","Washing Machine")</f>
        <v>Washing Machine</v>
      </c>
      <c r="D700" s="10">
        <v>1995</v>
      </c>
    </row>
    <row r="701" spans="1:4" ht="12.75">
      <c r="A701" s="9" t="str">
        <f>HYPERLINK("https://www.youtube.com/watch?v=sf2qYa8c-cA","Schizophrenia")</f>
        <v>Schizophrenia</v>
      </c>
      <c r="B701" s="8">
        <v>164</v>
      </c>
      <c r="C701" s="9" t="str">
        <f>HYPERLINK("http://en.wikipedia.org/wiki/Sister_(Sonic_Youth_album)","Sister")</f>
        <v>Sister</v>
      </c>
      <c r="D701" s="7">
        <v>1987</v>
      </c>
    </row>
    <row r="702" spans="1:4" ht="12.75">
      <c r="A702" s="12" t="str">
        <f>HYPERLINK("https://www.youtube.com/watch?v=cKZ-n-0_eLk","The Sprawl")</f>
        <v>The Sprawl</v>
      </c>
      <c r="B702" s="11">
        <v>91</v>
      </c>
      <c r="C702" s="12" t="str">
        <f>HYPERLINK("http://en.wikipedia.org/wiki/Daydream_Nation","Daydream Nation")</f>
        <v>Daydream Nation</v>
      </c>
      <c r="D702" s="10">
        <v>1988</v>
      </c>
    </row>
    <row r="703" spans="1:4" ht="12.75">
      <c r="A703" s="9" t="str">
        <f>HYPERLINK("https://www.youtube.com/watch?v=cP4I_kHmC-Q","Expressway to Yr. Skull")</f>
        <v>Expressway to Yr. Skull</v>
      </c>
      <c r="B703" s="8">
        <v>82</v>
      </c>
      <c r="C703" s="9" t="str">
        <f>HYPERLINK("https://en.wikipedia.org/wiki/Evol_(Sonic_Youth_album)","EVOL")</f>
        <v>EVOL</v>
      </c>
      <c r="D703" s="7">
        <v>1986</v>
      </c>
    </row>
    <row r="704" spans="1:4" ht="12.75">
      <c r="A704" s="29" t="str">
        <f>HYPERLINK("https://www.youtube.com/watch?v=fbBT0dftZKA","Dirty Boots")</f>
        <v>Dirty Boots</v>
      </c>
      <c r="B704" s="28">
        <v>81</v>
      </c>
      <c r="C704" s="29" t="str">
        <f>HYPERLINK("https://en.wikipedia.org/wiki/Goo_(album)","Goo")</f>
        <v>Goo</v>
      </c>
      <c r="D704" s="27">
        <v>1990</v>
      </c>
    </row>
    <row r="705" spans="1:4" ht="12.75">
      <c r="A705" s="9" t="str">
        <f>HYPERLINK("https://www.youtube.com/watch?v=yr9q1x2fa3Q","Silver Rocket")</f>
        <v>Silver Rocket</v>
      </c>
      <c r="B705" s="8">
        <v>79</v>
      </c>
      <c r="C705" s="9" t="str">
        <f>HYPERLINK("http://en.wikipedia.org/wiki/Daydream_Nation","Daydream Nation")</f>
        <v>Daydream Nation</v>
      </c>
      <c r="D705" s="7">
        <v>1988</v>
      </c>
    </row>
    <row r="706" spans="1:4" ht="12.75">
      <c r="A706" s="29" t="str">
        <f>HYPERLINK("https://www.youtube.com/watch?v=SDTSUwIZdMk","Kool Thing")</f>
        <v>Kool Thing</v>
      </c>
      <c r="B706" s="28">
        <v>79</v>
      </c>
      <c r="C706" s="29" t="str">
        <f>HYPERLINK("http://en.wikipedia.org/wiki/Goo_(album)","Goo")</f>
        <v>Goo</v>
      </c>
      <c r="D706" s="27">
        <v>1990</v>
      </c>
    </row>
    <row r="707" spans="1:4" ht="12.75">
      <c r="A707" s="9" t="str">
        <f>HYPERLINK("https://www.youtube.com/watch?v=reSOp1domrU","Tunic (Song for Karen)")</f>
        <v>Tunic (Song for Karen)</v>
      </c>
      <c r="B707" s="8">
        <v>71</v>
      </c>
      <c r="C707" s="9" t="str">
        <f>HYPERLINK("https://en.wikipedia.org/wiki/Goo_(album)","Goo")</f>
        <v>Goo</v>
      </c>
      <c r="D707" s="7">
        <v>1990</v>
      </c>
    </row>
    <row r="708" spans="1:4" ht="12.75">
      <c r="A708" s="29" t="str">
        <f>HYPERLINK("https://www.youtube.com/watch?v=nWpbFoEUV24","Shadow of a Doubt")</f>
        <v>Shadow of a Doubt</v>
      </c>
      <c r="B708" s="28">
        <v>70</v>
      </c>
      <c r="C708" s="29" t="str">
        <f>HYPERLINK("https://en.wikipedia.org/wiki/Evol_(Sonic_Youth_album)","EVOL")</f>
        <v>EVOL</v>
      </c>
      <c r="D708" s="27">
        <v>1986</v>
      </c>
    </row>
    <row r="709" spans="1:4" ht="12.75">
      <c r="A709" s="152"/>
      <c r="B709" s="153"/>
      <c r="C709" s="153"/>
      <c r="D709" s="154"/>
    </row>
    <row r="710" spans="1:4" ht="18">
      <c r="A710" s="22" t="s">
        <v>3244</v>
      </c>
      <c r="B710" s="30">
        <v>44236</v>
      </c>
      <c r="C710" s="24"/>
      <c r="D710" s="32" t="s">
        <v>1</v>
      </c>
    </row>
    <row r="711" spans="1:4" ht="12.75">
      <c r="A711" s="26" t="s">
        <v>2</v>
      </c>
      <c r="B711" s="26" t="s">
        <v>3</v>
      </c>
      <c r="C711" s="26" t="s">
        <v>4</v>
      </c>
      <c r="D711" s="26" t="s">
        <v>5</v>
      </c>
    </row>
    <row r="712" spans="1:4" ht="12.75">
      <c r="A712" s="7" t="s">
        <v>3245</v>
      </c>
      <c r="B712" s="8">
        <v>418</v>
      </c>
      <c r="C712" s="9" t="s">
        <v>3246</v>
      </c>
      <c r="D712" s="7">
        <v>2018</v>
      </c>
    </row>
    <row r="713" spans="1:4" ht="12.75">
      <c r="A713" s="27" t="s">
        <v>3247</v>
      </c>
      <c r="B713" s="28">
        <v>361</v>
      </c>
      <c r="C713" s="29" t="s">
        <v>3248</v>
      </c>
      <c r="D713" s="27">
        <v>2013</v>
      </c>
    </row>
    <row r="714" spans="1:4" ht="12.75">
      <c r="A714" s="7" t="s">
        <v>3249</v>
      </c>
      <c r="B714" s="8">
        <v>310</v>
      </c>
      <c r="C714" s="9" t="s">
        <v>3246</v>
      </c>
      <c r="D714" s="7">
        <v>2018</v>
      </c>
    </row>
    <row r="715" spans="1:4" ht="12.75">
      <c r="A715" s="27" t="s">
        <v>3250</v>
      </c>
      <c r="B715" s="28">
        <v>300</v>
      </c>
      <c r="C715" s="29" t="s">
        <v>3248</v>
      </c>
      <c r="D715" s="27">
        <v>2015</v>
      </c>
    </row>
    <row r="716" spans="1:4" ht="12.75">
      <c r="A716" s="7" t="s">
        <v>3251</v>
      </c>
      <c r="B716" s="8">
        <v>271</v>
      </c>
      <c r="C716" s="9" t="s">
        <v>3246</v>
      </c>
      <c r="D716" s="7">
        <v>2017</v>
      </c>
    </row>
    <row r="717" spans="1:4" ht="12.75">
      <c r="A717" s="27" t="s">
        <v>3252</v>
      </c>
      <c r="B717" s="28">
        <v>238</v>
      </c>
      <c r="C717" s="29" t="s">
        <v>3248</v>
      </c>
      <c r="D717" s="27">
        <v>2015</v>
      </c>
    </row>
    <row r="718" spans="1:4" ht="12.75">
      <c r="A718" s="7" t="s">
        <v>3253</v>
      </c>
      <c r="B718" s="8">
        <v>227</v>
      </c>
      <c r="C718" s="9" t="s">
        <v>3246</v>
      </c>
      <c r="D718" s="7">
        <v>2018</v>
      </c>
    </row>
    <row r="719" spans="1:4" ht="12.75">
      <c r="A719" s="27" t="s">
        <v>3254</v>
      </c>
      <c r="B719" s="28">
        <v>218</v>
      </c>
      <c r="C719" s="29" t="s">
        <v>3246</v>
      </c>
      <c r="D719" s="27">
        <v>2017</v>
      </c>
    </row>
    <row r="720" spans="1:4" ht="12.75">
      <c r="A720" s="7" t="s">
        <v>3957</v>
      </c>
      <c r="B720" s="8">
        <v>194</v>
      </c>
      <c r="C720" s="9" t="s">
        <v>3246</v>
      </c>
      <c r="D720" s="7">
        <v>2018</v>
      </c>
    </row>
    <row r="721" spans="1:4" ht="12.75">
      <c r="A721" s="27" t="s">
        <v>3255</v>
      </c>
      <c r="B721" s="28">
        <v>151</v>
      </c>
      <c r="C721" s="29" t="s">
        <v>3246</v>
      </c>
      <c r="D721" s="27">
        <v>2018</v>
      </c>
    </row>
    <row r="722" spans="1:4" ht="12.75">
      <c r="A722" s="152"/>
      <c r="B722" s="153"/>
      <c r="C722" s="153"/>
      <c r="D722" s="154"/>
    </row>
    <row r="723" spans="1:4" ht="18">
      <c r="A723" s="22" t="str">
        <f>HYPERLINK("https://www.reddit.com/r/indieheads/comments/b06vzm/top_ten_tuesday_spacemen_3/","Spacemen 3")</f>
        <v>Spacemen 3</v>
      </c>
      <c r="B723" s="30">
        <v>43536</v>
      </c>
      <c r="C723" s="24"/>
      <c r="D723" s="24"/>
    </row>
    <row r="724" spans="1:4" ht="12.75">
      <c r="A724" s="26" t="s">
        <v>2</v>
      </c>
      <c r="B724" s="26" t="s">
        <v>3</v>
      </c>
      <c r="C724" s="26" t="s">
        <v>4</v>
      </c>
      <c r="D724" s="26" t="s">
        <v>5</v>
      </c>
    </row>
    <row r="725" spans="1:4" ht="12.75">
      <c r="A725" s="7" t="s">
        <v>3256</v>
      </c>
      <c r="B725" s="8">
        <v>71</v>
      </c>
      <c r="C725" s="9" t="str">
        <f>HYPERLINK("https://en.wikipedia.org/wiki/The_Perfect_Prescription","The Perfect Prescription")</f>
        <v>The Perfect Prescription</v>
      </c>
      <c r="D725" s="7">
        <v>1987</v>
      </c>
    </row>
    <row r="726" spans="1:4" ht="12.75">
      <c r="A726" s="27" t="s">
        <v>3257</v>
      </c>
      <c r="B726" s="28">
        <v>57</v>
      </c>
      <c r="C726" s="29" t="str">
        <f>HYPERLINK("https://en.wikipedia.org/wiki/Playing_with_Fire_(Spacemen_3_album)","Playing With Fire")</f>
        <v>Playing With Fire</v>
      </c>
      <c r="D726" s="27">
        <v>1989</v>
      </c>
    </row>
    <row r="727" spans="1:4" ht="12.75">
      <c r="A727" s="7" t="s">
        <v>3258</v>
      </c>
      <c r="B727" s="8">
        <v>45</v>
      </c>
      <c r="C727" s="9" t="str">
        <f>HYPERLINK("https://en.wikipedia.org/wiki/Sound_of_Confusion","Sound of Confusion")</f>
        <v>Sound of Confusion</v>
      </c>
      <c r="D727" s="7">
        <v>1986</v>
      </c>
    </row>
    <row r="728" spans="1:4" ht="12.75">
      <c r="A728" s="27" t="s">
        <v>3259</v>
      </c>
      <c r="B728" s="28">
        <v>44</v>
      </c>
      <c r="C728" s="29" t="str">
        <f>HYPERLINK("https://en.wikipedia.org/wiki/Playing_with_Fire_(Spacemen_3_album)","Playing With Fire")</f>
        <v>Playing With Fire</v>
      </c>
      <c r="D728" s="27">
        <v>1989</v>
      </c>
    </row>
    <row r="729" spans="1:4" ht="12.75">
      <c r="A729" s="7" t="s">
        <v>3260</v>
      </c>
      <c r="B729" s="8">
        <v>43</v>
      </c>
      <c r="C729" s="9" t="str">
        <f t="shared" ref="C729:C730" si="52">HYPERLINK("https://en.wikipedia.org/wiki/The_Perfect_Prescription","The Perfect Prescription")</f>
        <v>The Perfect Prescription</v>
      </c>
      <c r="D729" s="7">
        <v>1987</v>
      </c>
    </row>
    <row r="730" spans="1:4" ht="12.75">
      <c r="A730" s="27" t="s">
        <v>3261</v>
      </c>
      <c r="B730" s="28">
        <v>36</v>
      </c>
      <c r="C730" s="29" t="str">
        <f t="shared" si="52"/>
        <v>The Perfect Prescription</v>
      </c>
      <c r="D730" s="27">
        <v>1987</v>
      </c>
    </row>
    <row r="731" spans="1:4" ht="12.75">
      <c r="A731" s="7" t="s">
        <v>3262</v>
      </c>
      <c r="B731" s="8">
        <v>36</v>
      </c>
      <c r="C731" s="9" t="str">
        <f>HYPERLINK("https://en.wikipedia.org/wiki/Recurring_(album)","Recurring")</f>
        <v>Recurring</v>
      </c>
      <c r="D731" s="7">
        <v>1989</v>
      </c>
    </row>
    <row r="732" spans="1:4" ht="12.75">
      <c r="A732" s="27" t="s">
        <v>3263</v>
      </c>
      <c r="B732" s="28">
        <v>35</v>
      </c>
      <c r="C732" s="29" t="str">
        <f t="shared" ref="C732:C733" si="53">HYPERLINK("https://en.wikipedia.org/wiki/Sound_of_Confusion","Sound of Confusion")</f>
        <v>Sound of Confusion</v>
      </c>
      <c r="D732" s="27">
        <v>1986</v>
      </c>
    </row>
    <row r="733" spans="1:4" ht="12.75">
      <c r="A733" s="7" t="s">
        <v>461</v>
      </c>
      <c r="B733" s="8">
        <v>30</v>
      </c>
      <c r="C733" s="9" t="str">
        <f t="shared" si="53"/>
        <v>Sound of Confusion</v>
      </c>
      <c r="D733" s="7">
        <v>1986</v>
      </c>
    </row>
    <row r="734" spans="1:4" ht="12.75">
      <c r="A734" s="27" t="s">
        <v>3264</v>
      </c>
      <c r="B734" s="28">
        <v>29</v>
      </c>
      <c r="C734" s="29" t="str">
        <f>HYPERLINK("https://en.wikipedia.org/wiki/The_Perfect_Prescription","The Perfect Prescription")</f>
        <v>The Perfect Prescription</v>
      </c>
      <c r="D734" s="27">
        <v>1987</v>
      </c>
    </row>
    <row r="735" spans="1:4" ht="12.75">
      <c r="A735" s="152"/>
      <c r="B735" s="153"/>
      <c r="C735" s="153"/>
      <c r="D735" s="154"/>
    </row>
    <row r="736" spans="1:4" ht="18">
      <c r="A736" s="22" t="str">
        <f>HYPERLINK("https://www.reddit.com/r/indieheads/comments/blptwq/top_ten_tuesday_sparklehorse/","Sparklehorse")</f>
        <v>Sparklehorse</v>
      </c>
      <c r="B736" s="30">
        <v>43592</v>
      </c>
      <c r="C736" s="24"/>
      <c r="D736" s="32" t="s">
        <v>1</v>
      </c>
    </row>
    <row r="737" spans="1:4" ht="12.75">
      <c r="A737" s="26" t="s">
        <v>2</v>
      </c>
      <c r="B737" s="26" t="s">
        <v>3</v>
      </c>
      <c r="C737" s="26" t="s">
        <v>4</v>
      </c>
      <c r="D737" s="26" t="s">
        <v>5</v>
      </c>
    </row>
    <row r="738" spans="1:4" ht="12.75">
      <c r="A738" s="7" t="s">
        <v>3265</v>
      </c>
      <c r="B738" s="8">
        <v>78</v>
      </c>
      <c r="C738" s="9" t="str">
        <f>HYPERLINK("https://en.wikipedia.org/wiki/It%27s_a_Wonderful_Life_(album)","It's a Wonderful Life")</f>
        <v>It's a Wonderful Life</v>
      </c>
      <c r="D738" s="7">
        <v>2001</v>
      </c>
    </row>
    <row r="739" spans="1:4" ht="12.75">
      <c r="A739" s="27" t="s">
        <v>3266</v>
      </c>
      <c r="B739" s="28">
        <v>76</v>
      </c>
      <c r="C739" s="29" t="str">
        <f>HYPERLINK("https://en.wikipedia.org/wiki/Good_Morning_Spider","Good Morning Spider")</f>
        <v>Good Morning Spider</v>
      </c>
      <c r="D739" s="27">
        <v>1998</v>
      </c>
    </row>
    <row r="740" spans="1:4" ht="12.75">
      <c r="A740" s="7" t="s">
        <v>3267</v>
      </c>
      <c r="B740" s="8">
        <v>63</v>
      </c>
      <c r="C740" s="9" t="str">
        <f>HYPERLINK("https://en.wikipedia.org/wiki/It%27s_a_Wonderful_Life_(album)","It's a Wonderful Life")</f>
        <v>It's a Wonderful Life</v>
      </c>
      <c r="D740" s="7">
        <v>2001</v>
      </c>
    </row>
    <row r="741" spans="1:4" ht="12.75">
      <c r="A741" s="27" t="s">
        <v>3958</v>
      </c>
      <c r="B741" s="28">
        <v>49</v>
      </c>
      <c r="C741" s="29" t="str">
        <f>HYPERLINK("https://en.wikipedia.org/wiki/Good_Morning_Spider","Good Morning Spider")</f>
        <v>Good Morning Spider</v>
      </c>
      <c r="D741" s="27">
        <v>1998</v>
      </c>
    </row>
    <row r="742" spans="1:4" ht="12.75">
      <c r="A742" s="7" t="s">
        <v>3268</v>
      </c>
      <c r="B742" s="8">
        <v>46</v>
      </c>
      <c r="C742" s="9" t="str">
        <f>HYPERLINK("https://en.wikipedia.org/wiki/Vivadixiesubmarinetransmissionplot","Vivadixiesubmarinetransmissionplot")</f>
        <v>Vivadixiesubmarinetransmissionplot</v>
      </c>
      <c r="D742" s="7">
        <v>1995</v>
      </c>
    </row>
    <row r="743" spans="1:4" ht="12.75">
      <c r="A743" s="27" t="s">
        <v>3269</v>
      </c>
      <c r="B743" s="28">
        <v>44</v>
      </c>
      <c r="C743" s="29" t="str">
        <f>HYPERLINK("https://en.wikipedia.org/wiki/Dreamt_for_Light_Years_in_the_Belly_of_a_Mountain","Dreamt for Light Years in the Belly of a Mountain")</f>
        <v>Dreamt for Light Years in the Belly of a Mountain</v>
      </c>
      <c r="D743" s="27">
        <v>2006</v>
      </c>
    </row>
    <row r="744" spans="1:4" ht="12.75">
      <c r="A744" s="7" t="s">
        <v>3270</v>
      </c>
      <c r="B744" s="8">
        <v>42</v>
      </c>
      <c r="C744" s="9" t="str">
        <f>HYPERLINK("https://en.wikipedia.org/wiki/Good_Morning_Spider","Good Morning Spider")</f>
        <v>Good Morning Spider</v>
      </c>
      <c r="D744" s="7">
        <v>1998</v>
      </c>
    </row>
    <row r="745" spans="1:4" ht="12.75">
      <c r="A745" s="27" t="s">
        <v>3271</v>
      </c>
      <c r="B745" s="28">
        <v>37</v>
      </c>
      <c r="C745" s="29" t="str">
        <f>HYPERLINK("https://en.wikipedia.org/wiki/Vivadixiesubmarinetransmissionplot","Vivadixiesubmarinetransmissionplot")</f>
        <v>Vivadixiesubmarinetransmissionplot</v>
      </c>
      <c r="D745" s="27">
        <v>1995</v>
      </c>
    </row>
    <row r="746" spans="1:4" ht="12.75">
      <c r="A746" s="7" t="s">
        <v>3272</v>
      </c>
      <c r="B746" s="8">
        <v>34</v>
      </c>
      <c r="C746" s="9" t="str">
        <f>HYPERLINK("https://en.wikipedia.org/wiki/Dreamt_for_Light_Years_in_the_Belly_of_a_Mountain","Dreamt for Light Years in the Belly of a Mountain")</f>
        <v>Dreamt for Light Years in the Belly of a Mountain</v>
      </c>
      <c r="D746" s="7">
        <v>2006</v>
      </c>
    </row>
    <row r="747" spans="1:4" ht="12.75">
      <c r="A747" s="27" t="s">
        <v>3273</v>
      </c>
      <c r="B747" s="28">
        <v>34</v>
      </c>
      <c r="C747" s="29" t="str">
        <f>HYPERLINK("https://en.wikipedia.org/wiki/Vivadixiesubmarinetransmissionplot","Vivadixiesubmarinetransmissionplot")</f>
        <v>Vivadixiesubmarinetransmissionplot</v>
      </c>
      <c r="D747" s="27">
        <v>1995</v>
      </c>
    </row>
    <row r="748" spans="1:4" ht="12.75">
      <c r="A748" s="152"/>
      <c r="B748" s="153"/>
      <c r="C748" s="153"/>
      <c r="D748" s="154"/>
    </row>
    <row r="749" spans="1:4" ht="18">
      <c r="A749" s="22" t="s">
        <v>3274</v>
      </c>
      <c r="B749" s="30">
        <v>44383</v>
      </c>
      <c r="C749" s="24"/>
      <c r="D749" s="32" t="s">
        <v>1</v>
      </c>
    </row>
    <row r="750" spans="1:4" ht="12.75">
      <c r="A750" s="26" t="s">
        <v>2</v>
      </c>
      <c r="B750" s="26" t="s">
        <v>3</v>
      </c>
      <c r="C750" s="26" t="s">
        <v>4</v>
      </c>
      <c r="D750" s="26" t="s">
        <v>5</v>
      </c>
    </row>
    <row r="751" spans="1:4" ht="12.75">
      <c r="A751" s="7" t="s">
        <v>3275</v>
      </c>
      <c r="B751" s="8">
        <v>61</v>
      </c>
      <c r="C751" s="9" t="s">
        <v>3276</v>
      </c>
      <c r="D751" s="7">
        <v>2013</v>
      </c>
    </row>
    <row r="752" spans="1:4" ht="12.75">
      <c r="A752" s="27" t="s">
        <v>3277</v>
      </c>
      <c r="B752" s="28">
        <v>47</v>
      </c>
      <c r="C752" s="29" t="s">
        <v>3276</v>
      </c>
      <c r="D752" s="27">
        <v>2013</v>
      </c>
    </row>
    <row r="753" spans="1:4" ht="12.75">
      <c r="A753" s="7" t="s">
        <v>3278</v>
      </c>
      <c r="B753" s="8">
        <v>47</v>
      </c>
      <c r="C753" s="9" t="s">
        <v>3279</v>
      </c>
      <c r="D753" s="7">
        <v>2015</v>
      </c>
    </row>
    <row r="754" spans="1:4" ht="12.75">
      <c r="A754" s="27" t="s">
        <v>3280</v>
      </c>
      <c r="B754" s="28">
        <v>39</v>
      </c>
      <c r="C754" s="29" t="s">
        <v>3276</v>
      </c>
      <c r="D754" s="27">
        <v>2013</v>
      </c>
    </row>
    <row r="755" spans="1:4" ht="12.75">
      <c r="A755" s="7" t="s">
        <v>3281</v>
      </c>
      <c r="B755" s="8">
        <v>35</v>
      </c>
      <c r="C755" s="7" t="s">
        <v>3282</v>
      </c>
      <c r="D755" s="7">
        <v>2012</v>
      </c>
    </row>
    <row r="756" spans="1:4" ht="12.75">
      <c r="A756" s="27" t="s">
        <v>3283</v>
      </c>
      <c r="B756" s="28">
        <v>34</v>
      </c>
      <c r="C756" s="29" t="s">
        <v>3279</v>
      </c>
      <c r="D756" s="27">
        <v>2015</v>
      </c>
    </row>
    <row r="757" spans="1:4" ht="12.75">
      <c r="A757" s="7" t="s">
        <v>3284</v>
      </c>
      <c r="B757" s="8">
        <v>31</v>
      </c>
      <c r="C757" s="9" t="s">
        <v>3276</v>
      </c>
      <c r="D757" s="7">
        <v>2013</v>
      </c>
    </row>
    <row r="758" spans="1:4" ht="12.75">
      <c r="A758" s="27" t="s">
        <v>3285</v>
      </c>
      <c r="B758" s="28">
        <v>31</v>
      </c>
      <c r="C758" s="29" t="s">
        <v>3276</v>
      </c>
      <c r="D758" s="27">
        <v>2013</v>
      </c>
    </row>
    <row r="759" spans="1:4" ht="12.75">
      <c r="A759" s="7" t="s">
        <v>3286</v>
      </c>
      <c r="B759" s="8">
        <v>28</v>
      </c>
      <c r="C759" s="9" t="s">
        <v>3276</v>
      </c>
      <c r="D759" s="7">
        <v>2013</v>
      </c>
    </row>
    <row r="760" spans="1:4" ht="12.75">
      <c r="A760" s="27" t="s">
        <v>3287</v>
      </c>
      <c r="B760" s="28">
        <v>24</v>
      </c>
      <c r="C760" s="27" t="s">
        <v>3282</v>
      </c>
      <c r="D760" s="27">
        <v>2012</v>
      </c>
    </row>
    <row r="761" spans="1:4" ht="12.75">
      <c r="A761" s="152"/>
      <c r="B761" s="153"/>
      <c r="C761" s="153"/>
      <c r="D761" s="154"/>
    </row>
    <row r="762" spans="1:4" ht="18">
      <c r="A762" s="41" t="s">
        <v>3288</v>
      </c>
      <c r="B762" s="23">
        <v>44814</v>
      </c>
      <c r="C762" s="24"/>
      <c r="D762" s="32"/>
    </row>
    <row r="763" spans="1:4" ht="12.75">
      <c r="A763" s="26" t="s">
        <v>2</v>
      </c>
      <c r="B763" s="26" t="s">
        <v>3</v>
      </c>
      <c r="C763" s="26" t="s">
        <v>4</v>
      </c>
      <c r="D763" s="26" t="s">
        <v>5</v>
      </c>
    </row>
    <row r="764" spans="1:4" ht="12.75">
      <c r="A764" s="19" t="s">
        <v>805</v>
      </c>
      <c r="B764" s="8">
        <v>117</v>
      </c>
      <c r="C764" s="19" t="s">
        <v>3289</v>
      </c>
      <c r="D764" s="7">
        <v>2014</v>
      </c>
    </row>
    <row r="765" spans="1:4" ht="12.75">
      <c r="A765" s="67" t="s">
        <v>3290</v>
      </c>
      <c r="B765" s="66">
        <v>113</v>
      </c>
      <c r="C765" s="67" t="s">
        <v>3291</v>
      </c>
      <c r="D765" s="65">
        <v>2007</v>
      </c>
    </row>
    <row r="766" spans="1:4" ht="12.75">
      <c r="A766" s="19" t="s">
        <v>3292</v>
      </c>
      <c r="B766" s="8">
        <v>100</v>
      </c>
      <c r="C766" s="19" t="s">
        <v>3293</v>
      </c>
      <c r="D766" s="7">
        <v>2005</v>
      </c>
    </row>
    <row r="767" spans="1:4" ht="12.75">
      <c r="A767" s="35" t="s">
        <v>3294</v>
      </c>
      <c r="B767" s="28">
        <v>90</v>
      </c>
      <c r="C767" s="35" t="s">
        <v>3291</v>
      </c>
      <c r="D767" s="27">
        <v>2007</v>
      </c>
    </row>
    <row r="768" spans="1:4" ht="12.75">
      <c r="A768" s="19" t="s">
        <v>3295</v>
      </c>
      <c r="B768" s="8">
        <v>85</v>
      </c>
      <c r="C768" s="19" t="s">
        <v>3296</v>
      </c>
      <c r="D768" s="7">
        <v>2002</v>
      </c>
    </row>
    <row r="769" spans="1:4" ht="12.75">
      <c r="A769" s="67" t="s">
        <v>3297</v>
      </c>
      <c r="B769" s="66">
        <v>78</v>
      </c>
      <c r="C769" s="67" t="s">
        <v>3291</v>
      </c>
      <c r="D769" s="65">
        <v>2007</v>
      </c>
    </row>
    <row r="770" spans="1:4" ht="12.75">
      <c r="A770" s="19" t="s">
        <v>3298</v>
      </c>
      <c r="B770" s="8">
        <v>71</v>
      </c>
      <c r="C770" s="19" t="s">
        <v>3293</v>
      </c>
      <c r="D770" s="7">
        <v>2005</v>
      </c>
    </row>
    <row r="771" spans="1:4" ht="12.75">
      <c r="A771" s="35" t="s">
        <v>3299</v>
      </c>
      <c r="B771" s="28">
        <v>70</v>
      </c>
      <c r="C771" s="35" t="s">
        <v>3291</v>
      </c>
      <c r="D771" s="27">
        <v>2007</v>
      </c>
    </row>
    <row r="772" spans="1:4" ht="12.75">
      <c r="A772" s="19" t="s">
        <v>3300</v>
      </c>
      <c r="B772" s="8">
        <v>65</v>
      </c>
      <c r="C772" s="19" t="s">
        <v>3289</v>
      </c>
      <c r="D772" s="7">
        <v>2014</v>
      </c>
    </row>
    <row r="773" spans="1:4" ht="12.75">
      <c r="A773" s="35" t="s">
        <v>3301</v>
      </c>
      <c r="B773" s="28">
        <v>58</v>
      </c>
      <c r="C773" s="35" t="s">
        <v>3302</v>
      </c>
      <c r="D773" s="27">
        <v>2001</v>
      </c>
    </row>
    <row r="774" spans="1:4" ht="12.75">
      <c r="A774" s="152"/>
      <c r="B774" s="153"/>
      <c r="C774" s="153"/>
      <c r="D774" s="154"/>
    </row>
    <row r="775" spans="1:4" ht="18">
      <c r="A775" s="22" t="str">
        <f>HYPERLINK("https://www.reddit.com/r/indieheads/comments/5alz1j/top_ten_tuesday_spiritualized/","Spiritualized")</f>
        <v>Spiritualized</v>
      </c>
      <c r="B775" s="43">
        <v>42675</v>
      </c>
      <c r="C775" s="24"/>
      <c r="D775" s="24"/>
    </row>
    <row r="776" spans="1:4" ht="12.75">
      <c r="A776" s="26" t="s">
        <v>2</v>
      </c>
      <c r="B776" s="26" t="s">
        <v>3</v>
      </c>
      <c r="C776" s="26" t="s">
        <v>4</v>
      </c>
      <c r="D776" s="26" t="s">
        <v>5</v>
      </c>
    </row>
    <row r="777" spans="1:4" ht="12.75">
      <c r="A777" s="7" t="s">
        <v>3303</v>
      </c>
      <c r="B777" s="8">
        <v>122</v>
      </c>
      <c r="C777" s="9" t="str">
        <f t="shared" ref="C777:C778" si="54">HYPERLINK("https://en.wikipedia.org/wiki/Ladies_and_Gentlemen_We_Are_Floating_in_Space","Ladies and Gentleman We Are Floating in Space")</f>
        <v>Ladies and Gentleman We Are Floating in Space</v>
      </c>
      <c r="D777" s="7">
        <v>1997</v>
      </c>
    </row>
    <row r="778" spans="1:4" ht="12.75">
      <c r="A778" s="132" t="s">
        <v>3983</v>
      </c>
      <c r="B778" s="28">
        <v>112</v>
      </c>
      <c r="C778" s="29" t="str">
        <f t="shared" si="54"/>
        <v>Ladies and Gentleman We Are Floating in Space</v>
      </c>
      <c r="D778" s="27">
        <v>1997</v>
      </c>
    </row>
    <row r="779" spans="1:4" ht="12.75">
      <c r="A779" s="7" t="s">
        <v>3304</v>
      </c>
      <c r="B779" s="8">
        <v>70</v>
      </c>
      <c r="C779" s="9" t="str">
        <f>HYPERLINK("https://en.wikipedia.org/wiki/Sweet_Heart_Sweet_Light","Sweet Heart Sweet Light")</f>
        <v>Sweet Heart Sweet Light</v>
      </c>
      <c r="D779" s="7">
        <v>2012</v>
      </c>
    </row>
    <row r="780" spans="1:4" ht="12.75">
      <c r="A780" s="27" t="s">
        <v>3305</v>
      </c>
      <c r="B780" s="28">
        <v>70</v>
      </c>
      <c r="C780" s="29" t="str">
        <f t="shared" ref="C780:C782" si="55">HYPERLINK("https://en.wikipedia.org/wiki/Ladies_and_Gentlemen_We_Are_Floating_in_Space","Ladies and Gentleman We Are Floating in Space")</f>
        <v>Ladies and Gentleman We Are Floating in Space</v>
      </c>
      <c r="D780" s="27">
        <v>1997</v>
      </c>
    </row>
    <row r="781" spans="1:4" ht="12.75">
      <c r="A781" s="7" t="s">
        <v>2911</v>
      </c>
      <c r="B781" s="8">
        <v>62</v>
      </c>
      <c r="C781" s="9" t="str">
        <f t="shared" si="55"/>
        <v>Ladies and Gentleman We Are Floating in Space</v>
      </c>
      <c r="D781" s="7">
        <v>1997</v>
      </c>
    </row>
    <row r="782" spans="1:4" ht="12.75">
      <c r="A782" s="27" t="s">
        <v>3306</v>
      </c>
      <c r="B782" s="28">
        <v>60</v>
      </c>
      <c r="C782" s="29" t="str">
        <f t="shared" si="55"/>
        <v>Ladies and Gentleman We Are Floating in Space</v>
      </c>
      <c r="D782" s="27">
        <v>1997</v>
      </c>
    </row>
    <row r="783" spans="1:4" ht="12.75">
      <c r="A783" s="7" t="s">
        <v>3307</v>
      </c>
      <c r="B783" s="8">
        <v>56</v>
      </c>
      <c r="C783" s="9" t="str">
        <f>HYPERLINK("https://en.wikipedia.org/wiki/Lazer_Guided_Melodies","Lazer Guided Melodies")</f>
        <v>Lazer Guided Melodies</v>
      </c>
      <c r="D783" s="7">
        <v>1992</v>
      </c>
    </row>
    <row r="784" spans="1:4" ht="12.75">
      <c r="A784" s="27" t="s">
        <v>3308</v>
      </c>
      <c r="B784" s="28">
        <v>47</v>
      </c>
      <c r="C784" s="29" t="str">
        <f>HYPERLINK("https://en.wikipedia.org/wiki/Pure_Phase","Pure Phase")</f>
        <v>Pure Phase</v>
      </c>
      <c r="D784" s="27">
        <v>1995</v>
      </c>
    </row>
    <row r="785" spans="1:4" ht="12.75">
      <c r="A785" s="7" t="s">
        <v>3309</v>
      </c>
      <c r="B785" s="8">
        <v>47</v>
      </c>
      <c r="C785" s="9" t="str">
        <f>HYPERLINK("https://en.wikipedia.org/wiki/Ladies_and_Gentlemen_We_Are_Floating_in_Space","Ladies and Gentleman We Are Floating in Space")</f>
        <v>Ladies and Gentleman We Are Floating in Space</v>
      </c>
      <c r="D785" s="7">
        <v>1997</v>
      </c>
    </row>
    <row r="786" spans="1:4" ht="12.75">
      <c r="A786" s="27" t="s">
        <v>3310</v>
      </c>
      <c r="B786" s="28">
        <v>47</v>
      </c>
      <c r="C786" s="29" t="str">
        <f>HYPERLINK("https://en.wikipedia.org/wiki/Pure_Phase","Pure Phase")</f>
        <v>Pure Phase</v>
      </c>
      <c r="D786" s="27">
        <v>1995</v>
      </c>
    </row>
    <row r="787" spans="1:4" ht="12.75">
      <c r="A787" s="152"/>
      <c r="B787" s="153"/>
      <c r="C787" s="153"/>
      <c r="D787" s="154"/>
    </row>
    <row r="788" spans="1:4" ht="18">
      <c r="A788" s="41" t="s">
        <v>3311</v>
      </c>
      <c r="B788" s="23">
        <v>44882</v>
      </c>
      <c r="C788" s="24"/>
      <c r="D788" s="24"/>
    </row>
    <row r="789" spans="1:4" ht="12.75">
      <c r="A789" s="26" t="s">
        <v>2</v>
      </c>
      <c r="B789" s="26" t="s">
        <v>3</v>
      </c>
      <c r="C789" s="26" t="s">
        <v>4</v>
      </c>
      <c r="D789" s="26" t="s">
        <v>5</v>
      </c>
    </row>
    <row r="790" spans="1:4" ht="12.75">
      <c r="A790" s="7" t="s">
        <v>3312</v>
      </c>
      <c r="B790" s="8">
        <v>343</v>
      </c>
      <c r="C790" s="19" t="s">
        <v>3313</v>
      </c>
      <c r="D790" s="7">
        <v>2011</v>
      </c>
    </row>
    <row r="791" spans="1:4" ht="12.75">
      <c r="A791" s="10" t="s">
        <v>3314</v>
      </c>
      <c r="B791" s="11">
        <v>214</v>
      </c>
      <c r="C791" s="20" t="s">
        <v>3313</v>
      </c>
      <c r="D791" s="10">
        <v>2011</v>
      </c>
    </row>
    <row r="792" spans="1:4" ht="12.75">
      <c r="A792" s="7" t="s">
        <v>3315</v>
      </c>
      <c r="B792" s="8">
        <v>198</v>
      </c>
      <c r="C792" s="19" t="s">
        <v>3316</v>
      </c>
      <c r="D792" s="7">
        <v>2009</v>
      </c>
    </row>
    <row r="793" spans="1:4" ht="12.75">
      <c r="A793" s="10" t="s">
        <v>3317</v>
      </c>
      <c r="B793" s="11">
        <v>193</v>
      </c>
      <c r="C793" s="20" t="s">
        <v>3311</v>
      </c>
      <c r="D793" s="10">
        <v>2014</v>
      </c>
    </row>
    <row r="794" spans="1:4" ht="12.75">
      <c r="A794" s="7" t="s">
        <v>3313</v>
      </c>
      <c r="B794" s="8">
        <v>176</v>
      </c>
      <c r="C794" s="19" t="s">
        <v>3313</v>
      </c>
      <c r="D794" s="7">
        <v>2011</v>
      </c>
    </row>
    <row r="795" spans="1:4" ht="12.75">
      <c r="A795" s="27" t="s">
        <v>3318</v>
      </c>
      <c r="B795" s="28">
        <v>162</v>
      </c>
      <c r="C795" s="35" t="s">
        <v>3316</v>
      </c>
      <c r="D795" s="27">
        <v>2009</v>
      </c>
    </row>
    <row r="796" spans="1:4" ht="12.75">
      <c r="A796" s="7" t="s">
        <v>3319</v>
      </c>
      <c r="B796" s="8">
        <v>155</v>
      </c>
      <c r="C796" s="19" t="s">
        <v>3311</v>
      </c>
      <c r="D796" s="7">
        <v>2014</v>
      </c>
    </row>
    <row r="797" spans="1:4" ht="12.75">
      <c r="A797" s="27" t="s">
        <v>3320</v>
      </c>
      <c r="B797" s="28">
        <v>151</v>
      </c>
      <c r="C797" s="35"/>
      <c r="D797" s="27">
        <v>2018</v>
      </c>
    </row>
    <row r="798" spans="1:4" ht="12.75">
      <c r="A798" s="7" t="s">
        <v>3321</v>
      </c>
      <c r="B798" s="8">
        <v>146</v>
      </c>
      <c r="C798" s="19" t="s">
        <v>3322</v>
      </c>
      <c r="D798" s="7">
        <v>2017</v>
      </c>
    </row>
    <row r="799" spans="1:4" ht="12.75">
      <c r="A799" s="27" t="s">
        <v>3323</v>
      </c>
      <c r="B799" s="28">
        <v>145</v>
      </c>
      <c r="C799" s="35" t="s">
        <v>3311</v>
      </c>
      <c r="D799" s="27">
        <v>2014</v>
      </c>
    </row>
    <row r="800" spans="1:4" ht="12.75">
      <c r="A800" s="133" t="s">
        <v>3984</v>
      </c>
      <c r="B800" s="8">
        <v>145</v>
      </c>
      <c r="C800" s="19" t="s">
        <v>3311</v>
      </c>
      <c r="D800" s="7">
        <v>2014</v>
      </c>
    </row>
    <row r="801" spans="1:4" ht="12.75">
      <c r="A801" s="152"/>
      <c r="B801" s="153"/>
      <c r="C801" s="153"/>
      <c r="D801" s="154"/>
    </row>
    <row r="802" spans="1:4" ht="18">
      <c r="A802" s="22" t="str">
        <f>HYPERLINK("https://www.reddit.com/r/indieheads/comments/7vo0o1/top_ten_tuesday_strfkr/","STRFKR")</f>
        <v>STRFKR</v>
      </c>
      <c r="B802" s="30">
        <v>43137</v>
      </c>
      <c r="C802" s="24"/>
      <c r="D802" s="24"/>
    </row>
    <row r="803" spans="1:4" ht="12.75">
      <c r="A803" s="26" t="s">
        <v>2</v>
      </c>
      <c r="B803" s="26" t="s">
        <v>3</v>
      </c>
      <c r="C803" s="26" t="s">
        <v>4</v>
      </c>
      <c r="D803" s="26" t="s">
        <v>5</v>
      </c>
    </row>
    <row r="804" spans="1:4" ht="12.75">
      <c r="A804" s="7" t="s">
        <v>3324</v>
      </c>
      <c r="B804" s="8">
        <v>201</v>
      </c>
      <c r="C804" s="9" t="str">
        <f t="shared" ref="C804:C806" si="56">HYPERLINK("https://en.wikipedia.org/wiki/Starfucker_(album)","Starfucker")</f>
        <v>Starfucker</v>
      </c>
      <c r="D804" s="7">
        <v>2008</v>
      </c>
    </row>
    <row r="805" spans="1:4" ht="12.75">
      <c r="A805" s="27" t="s">
        <v>3325</v>
      </c>
      <c r="B805" s="28">
        <v>132</v>
      </c>
      <c r="C805" s="29" t="str">
        <f t="shared" si="56"/>
        <v>Starfucker</v>
      </c>
      <c r="D805" s="27">
        <v>2008</v>
      </c>
    </row>
    <row r="806" spans="1:4" ht="12.75">
      <c r="A806" s="7" t="s">
        <v>3326</v>
      </c>
      <c r="B806" s="8">
        <v>132</v>
      </c>
      <c r="C806" s="9" t="str">
        <f t="shared" si="56"/>
        <v>Starfucker</v>
      </c>
      <c r="D806" s="7">
        <v>2008</v>
      </c>
    </row>
    <row r="807" spans="1:4" ht="12.75">
      <c r="A807" s="27" t="s">
        <v>3327</v>
      </c>
      <c r="B807" s="28">
        <v>124</v>
      </c>
      <c r="C807" s="29" t="str">
        <f>HYPERLINK("https://en.wikipedia.org/wiki/Reptilians_(Starfucker_album)","Reptilians")</f>
        <v>Reptilians</v>
      </c>
      <c r="D807" s="27">
        <v>2011</v>
      </c>
    </row>
    <row r="808" spans="1:4" ht="12.75">
      <c r="A808" s="7" t="s">
        <v>3328</v>
      </c>
      <c r="B808" s="8">
        <v>93</v>
      </c>
      <c r="C808" s="9" t="str">
        <f>HYPERLINK("https://en.wikipedia.org/wiki/Miracle_Mile_(Starfucker_album)","Miracle Mile")</f>
        <v>Miracle Mile</v>
      </c>
      <c r="D808" s="7">
        <v>2013</v>
      </c>
    </row>
    <row r="809" spans="1:4" ht="12.75">
      <c r="A809" s="27" t="s">
        <v>3329</v>
      </c>
      <c r="B809" s="28">
        <v>92</v>
      </c>
      <c r="C809" s="29" t="str">
        <f>HYPERLINK("https://en.wikipedia.org/wiki/Reptilians_(Starfucker_album)","Reptilians")</f>
        <v>Reptilians</v>
      </c>
      <c r="D809" s="27">
        <v>2011</v>
      </c>
    </row>
    <row r="810" spans="1:4" ht="12.75">
      <c r="A810" s="7" t="s">
        <v>3330</v>
      </c>
      <c r="B810" s="8">
        <v>89</v>
      </c>
      <c r="C810" s="9" t="str">
        <f>HYPERLINK("https://en.wikipedia.org/wiki/Being_No_One,_Going_Nowhere","Being No One, Going Nowhere")</f>
        <v>Being No One, Going Nowhere</v>
      </c>
      <c r="D810" s="7">
        <v>2016</v>
      </c>
    </row>
    <row r="811" spans="1:4" ht="12.75">
      <c r="A811" s="27" t="s">
        <v>3331</v>
      </c>
      <c r="B811" s="28">
        <v>77</v>
      </c>
      <c r="C811" s="29" t="str">
        <f>HYPERLINK("https://en.wikipedia.org/wiki/Miracle_Mile_(Starfucker_album)","Miracle Mile")</f>
        <v>Miracle Mile</v>
      </c>
      <c r="D811" s="27">
        <v>2013</v>
      </c>
    </row>
    <row r="812" spans="1:4" ht="12.75">
      <c r="A812" s="7" t="s">
        <v>3332</v>
      </c>
      <c r="B812" s="8">
        <v>67</v>
      </c>
      <c r="C812" s="9" t="str">
        <f>HYPERLINK("https://en.wikipedia.org/wiki/Being_No_One,_Going_Nowhere","Being No One, Going Nowhere")</f>
        <v>Being No One, Going Nowhere</v>
      </c>
      <c r="D812" s="7">
        <v>2016</v>
      </c>
    </row>
    <row r="813" spans="1:4" ht="12.75">
      <c r="A813" s="27" t="s">
        <v>3333</v>
      </c>
      <c r="B813" s="28">
        <v>65</v>
      </c>
      <c r="C813" s="29" t="str">
        <f>HYPERLINK("https://en.wikipedia.org/wiki/Starfucker_(album)","Starfucker")</f>
        <v>Starfucker</v>
      </c>
      <c r="D813" s="27">
        <v>2008</v>
      </c>
    </row>
    <row r="814" spans="1:4" ht="12.75">
      <c r="A814" s="152"/>
      <c r="B814" s="153"/>
      <c r="C814" s="153"/>
      <c r="D814" s="154"/>
    </row>
    <row r="815" spans="1:4" ht="18">
      <c r="A815" s="22" t="str">
        <f>HYPERLINK("https://www.reddit.com/r/indieheads/comments/7cvf6p/top_ten_tuesday_stereolab/","Stereolab")</f>
        <v>Stereolab</v>
      </c>
      <c r="B815" s="43">
        <v>43053</v>
      </c>
      <c r="C815" s="24"/>
      <c r="D815" s="24"/>
    </row>
    <row r="816" spans="1:4" ht="12.75">
      <c r="A816" s="26" t="s">
        <v>2</v>
      </c>
      <c r="B816" s="26" t="s">
        <v>3</v>
      </c>
      <c r="C816" s="26" t="s">
        <v>4</v>
      </c>
      <c r="D816" s="26" t="s">
        <v>5</v>
      </c>
    </row>
    <row r="817" spans="1:4" ht="12.75">
      <c r="A817" s="7" t="s">
        <v>3334</v>
      </c>
      <c r="B817" s="8">
        <v>83</v>
      </c>
      <c r="C817" s="9" t="str">
        <f>HYPERLINK("https://en.wikipedia.org/wiki/Cobra_and_Phases_Group_Play_Voltage_in_the_Milky_Night","Cobra and Phases Group Play Voltage in the Milky Night")</f>
        <v>Cobra and Phases Group Play Voltage in the Milky Night</v>
      </c>
      <c r="D817" s="7">
        <v>1999</v>
      </c>
    </row>
    <row r="818" spans="1:4" ht="12.75">
      <c r="A818" s="27" t="s">
        <v>3335</v>
      </c>
      <c r="B818" s="28">
        <v>78</v>
      </c>
      <c r="C818" s="29" t="str">
        <f>HYPERLINK("https://en.wikipedia.org/wiki/Emperor_Tomato_Ketchup_(album)","Emperor Tomato Ketchup")</f>
        <v>Emperor Tomato Ketchup</v>
      </c>
      <c r="D818" s="27">
        <v>1996</v>
      </c>
    </row>
    <row r="819" spans="1:4" ht="12.75">
      <c r="A819" s="7" t="s">
        <v>3336</v>
      </c>
      <c r="B819" s="8">
        <v>70</v>
      </c>
      <c r="C819" s="9" t="str">
        <f>HYPERLINK("https://en.wikipedia.org/wiki/Dots_and_Loops","Dots and Loops")</f>
        <v>Dots and Loops</v>
      </c>
      <c r="D819" s="7">
        <v>1997</v>
      </c>
    </row>
    <row r="820" spans="1:4" ht="12.75">
      <c r="A820" s="27" t="s">
        <v>3337</v>
      </c>
      <c r="B820" s="28">
        <v>62</v>
      </c>
      <c r="C820" s="29" t="str">
        <f>HYPERLINK("https://en.wikipedia.org/wiki/Jenny_Ondioline","Jenny Ondioline EP")</f>
        <v>Jenny Ondioline EP</v>
      </c>
      <c r="D820" s="27">
        <v>1993</v>
      </c>
    </row>
    <row r="821" spans="1:4" ht="12.75">
      <c r="A821" s="7" t="s">
        <v>3338</v>
      </c>
      <c r="B821" s="8">
        <v>60</v>
      </c>
      <c r="C821" s="7"/>
      <c r="D821" s="7">
        <v>1993</v>
      </c>
    </row>
    <row r="822" spans="1:4" ht="12.75">
      <c r="A822" s="27" t="s">
        <v>3339</v>
      </c>
      <c r="B822" s="28">
        <v>59</v>
      </c>
      <c r="C822" s="29" t="str">
        <f>HYPERLINK("https://en.wikipedia.org/wiki/Dots_and_Loops","Dots and Loops")</f>
        <v>Dots and Loops</v>
      </c>
      <c r="D822" s="27">
        <v>1997</v>
      </c>
    </row>
    <row r="823" spans="1:4" ht="12.75">
      <c r="A823" s="7" t="s">
        <v>3340</v>
      </c>
      <c r="B823" s="8">
        <v>48</v>
      </c>
      <c r="C823" s="9" t="str">
        <f>HYPERLINK("https://en.wikipedia.org/wiki/Mars_Audiac_Quintet","Mars Audiac Quintet")</f>
        <v>Mars Audiac Quintet</v>
      </c>
      <c r="D823" s="7">
        <v>1994</v>
      </c>
    </row>
    <row r="824" spans="1:4" ht="12.75">
      <c r="A824" s="27" t="s">
        <v>3341</v>
      </c>
      <c r="B824" s="28">
        <v>46</v>
      </c>
      <c r="C824" s="29" t="str">
        <f>HYPERLINK("https://en.wikipedia.org/wiki/Transient_Random-Noise_Bursts_with_Announcements","Transient Random-Noise Bursts with Announcements")</f>
        <v>Transient Random-Noise Bursts with Announcements</v>
      </c>
      <c r="D824" s="27">
        <v>1993</v>
      </c>
    </row>
    <row r="825" spans="1:4" ht="12.75">
      <c r="A825" s="7" t="s">
        <v>3342</v>
      </c>
      <c r="B825" s="8">
        <v>46</v>
      </c>
      <c r="C825" s="9" t="str">
        <f>HYPERLINK("https://en.wikipedia.org/wiki/Emperor_Tomato_Ketchup_(album)","Emperor Tomato Ketchup")</f>
        <v>Emperor Tomato Ketchup</v>
      </c>
      <c r="D825" s="7">
        <v>1996</v>
      </c>
    </row>
    <row r="826" spans="1:4" ht="12.75">
      <c r="A826" s="27" t="s">
        <v>3343</v>
      </c>
      <c r="B826" s="28">
        <v>44</v>
      </c>
      <c r="C826" s="29" t="str">
        <f>HYPERLINK("https://en.wikipedia.org/wiki/Fluorescences","Fluorescences EP")</f>
        <v>Fluorescences EP</v>
      </c>
      <c r="D826" s="27">
        <v>1996</v>
      </c>
    </row>
    <row r="827" spans="1:4" ht="12.75">
      <c r="A827" s="152"/>
      <c r="B827" s="153"/>
      <c r="C827" s="153"/>
      <c r="D827" s="154"/>
    </row>
    <row r="828" spans="1:4" ht="18">
      <c r="A828" s="22" t="str">
        <f>HYPERLINK("https://www.reddit.com/r/indieheads/comments/g9lkh2/top_ten_tuesday_the_stone_roses/","The Stone Roses")</f>
        <v>The Stone Roses</v>
      </c>
      <c r="B828" s="30">
        <v>43949</v>
      </c>
      <c r="C828" s="24"/>
      <c r="D828" s="32" t="s">
        <v>1</v>
      </c>
    </row>
    <row r="829" spans="1:4" ht="12.75">
      <c r="A829" s="26" t="s">
        <v>2</v>
      </c>
      <c r="B829" s="26" t="s">
        <v>3</v>
      </c>
      <c r="C829" s="26" t="s">
        <v>4</v>
      </c>
      <c r="D829" s="26" t="s">
        <v>5</v>
      </c>
    </row>
    <row r="830" spans="1:4" ht="12.75">
      <c r="A830" s="7" t="s">
        <v>3344</v>
      </c>
      <c r="B830" s="8">
        <v>455</v>
      </c>
      <c r="C830" s="9" t="str">
        <f t="shared" ref="C830:C832" si="57">HYPERLINK("https://en.wikipedia.org/wiki/The_Stone_Roses_(album)","The Stone Roses")</f>
        <v>The Stone Roses</v>
      </c>
      <c r="D830" s="7">
        <v>1989</v>
      </c>
    </row>
    <row r="831" spans="1:4" ht="12.75">
      <c r="A831" s="27" t="s">
        <v>3345</v>
      </c>
      <c r="B831" s="28">
        <v>381</v>
      </c>
      <c r="C831" s="29" t="str">
        <f t="shared" si="57"/>
        <v>The Stone Roses</v>
      </c>
      <c r="D831" s="27">
        <v>1989</v>
      </c>
    </row>
    <row r="832" spans="1:4" ht="12.75">
      <c r="A832" s="7" t="s">
        <v>3346</v>
      </c>
      <c r="B832" s="8">
        <v>349</v>
      </c>
      <c r="C832" s="9" t="str">
        <f t="shared" si="57"/>
        <v>The Stone Roses</v>
      </c>
      <c r="D832" s="7">
        <v>1989</v>
      </c>
    </row>
    <row r="833" spans="1:4" ht="12.75">
      <c r="A833" s="27" t="s">
        <v>3347</v>
      </c>
      <c r="B833" s="28">
        <v>286</v>
      </c>
      <c r="C833" s="27"/>
      <c r="D833" s="27">
        <v>1989</v>
      </c>
    </row>
    <row r="834" spans="1:4" ht="12.75">
      <c r="A834" s="7" t="s">
        <v>3348</v>
      </c>
      <c r="B834" s="8">
        <v>258</v>
      </c>
      <c r="C834" s="9" t="str">
        <f t="shared" ref="C834:C836" si="58">HYPERLINK("https://en.wikipedia.org/wiki/The_Stone_Roses_(album)","The Stone Roses")</f>
        <v>The Stone Roses</v>
      </c>
      <c r="D834" s="7">
        <v>1989</v>
      </c>
    </row>
    <row r="835" spans="1:4" ht="12.75">
      <c r="A835" s="27" t="s">
        <v>3349</v>
      </c>
      <c r="B835" s="28">
        <v>249</v>
      </c>
      <c r="C835" s="29" t="str">
        <f t="shared" si="58"/>
        <v>The Stone Roses</v>
      </c>
      <c r="D835" s="27">
        <v>1989</v>
      </c>
    </row>
    <row r="836" spans="1:4" ht="12.75">
      <c r="A836" s="7" t="s">
        <v>3350</v>
      </c>
      <c r="B836" s="8">
        <v>240</v>
      </c>
      <c r="C836" s="9" t="str">
        <f t="shared" si="58"/>
        <v>The Stone Roses</v>
      </c>
      <c r="D836" s="7">
        <v>1989</v>
      </c>
    </row>
    <row r="837" spans="1:4" ht="12.75">
      <c r="A837" s="27" t="s">
        <v>3351</v>
      </c>
      <c r="B837" s="28">
        <v>186</v>
      </c>
      <c r="C837" s="27"/>
      <c r="D837" s="27">
        <v>1988</v>
      </c>
    </row>
    <row r="838" spans="1:4" ht="12.75">
      <c r="A838" s="7" t="s">
        <v>3352</v>
      </c>
      <c r="B838" s="8">
        <v>156</v>
      </c>
      <c r="C838" s="9" t="str">
        <f>HYPERLINK("https://en.wikipedia.org/wiki/Second_Coming_(The_Stone_Roses_album)","Second Coming")</f>
        <v>Second Coming</v>
      </c>
      <c r="D838" s="7">
        <v>1994</v>
      </c>
    </row>
    <row r="839" spans="1:4" ht="12.75">
      <c r="A839" s="27" t="s">
        <v>3353</v>
      </c>
      <c r="B839" s="28">
        <v>113</v>
      </c>
      <c r="C839" s="27"/>
      <c r="D839" s="27">
        <v>1987</v>
      </c>
    </row>
    <row r="840" spans="1:4" ht="12.75">
      <c r="A840" s="152"/>
      <c r="B840" s="153"/>
      <c r="C840" s="153"/>
      <c r="D840" s="154"/>
    </row>
    <row r="841" spans="1:4" ht="18">
      <c r="A841" s="22" t="str">
        <f>HYPERLINK("https://www.reddit.com/r/indieheads/comments/fgbvh6/top_ten_tuesday_the_stooges/","The Stooges")</f>
        <v>The Stooges</v>
      </c>
      <c r="B841" s="30">
        <v>43900</v>
      </c>
      <c r="C841" s="24"/>
      <c r="D841" s="32" t="s">
        <v>1</v>
      </c>
    </row>
    <row r="842" spans="1:4" ht="12.75">
      <c r="A842" s="26" t="s">
        <v>2</v>
      </c>
      <c r="B842" s="26" t="s">
        <v>3</v>
      </c>
      <c r="C842" s="26" t="s">
        <v>4</v>
      </c>
      <c r="D842" s="26" t="s">
        <v>5</v>
      </c>
    </row>
    <row r="843" spans="1:4" ht="12.75">
      <c r="A843" s="7" t="s">
        <v>3354</v>
      </c>
      <c r="B843" s="8">
        <v>140</v>
      </c>
      <c r="C843" s="9" t="str">
        <f>HYPERLINK("https://en.wikipedia.org/wiki/Raw_Power","Raw Power")</f>
        <v>Raw Power</v>
      </c>
      <c r="D843" s="7">
        <v>1973</v>
      </c>
    </row>
    <row r="844" spans="1:4" ht="12.75">
      <c r="A844" s="109">
        <v>1970</v>
      </c>
      <c r="B844" s="28">
        <v>116</v>
      </c>
      <c r="C844" s="29" t="str">
        <f t="shared" ref="C844:C845" si="59">HYPERLINK("https://en.wikipedia.org/wiki/Fun_House_(The_Stooges_album)","Fun House")</f>
        <v>Fun House</v>
      </c>
      <c r="D844" s="27">
        <v>1970</v>
      </c>
    </row>
    <row r="845" spans="1:4" ht="12.75">
      <c r="A845" s="7" t="s">
        <v>3355</v>
      </c>
      <c r="B845" s="8">
        <v>106</v>
      </c>
      <c r="C845" s="9" t="str">
        <f t="shared" si="59"/>
        <v>Fun House</v>
      </c>
      <c r="D845" s="7">
        <v>1970</v>
      </c>
    </row>
    <row r="846" spans="1:4" ht="12.75">
      <c r="A846" s="27" t="s">
        <v>3356</v>
      </c>
      <c r="B846" s="28">
        <v>101</v>
      </c>
      <c r="C846" s="29" t="str">
        <f>HYPERLINK("https://en.wikipedia.org/wiki/The_Stooges_(album)","The Stooges")</f>
        <v>The Stooges</v>
      </c>
      <c r="D846" s="27">
        <v>1969</v>
      </c>
    </row>
    <row r="847" spans="1:4" ht="12.75">
      <c r="A847" s="7" t="s">
        <v>3357</v>
      </c>
      <c r="B847" s="8">
        <v>98</v>
      </c>
      <c r="C847" s="9" t="str">
        <f>HYPERLINK("https://en.wikipedia.org/wiki/Raw_Power","Raw Power")</f>
        <v>Raw Power</v>
      </c>
      <c r="D847" s="7">
        <v>1973</v>
      </c>
    </row>
    <row r="848" spans="1:4" ht="12.75">
      <c r="A848" s="27" t="s">
        <v>3358</v>
      </c>
      <c r="B848" s="28">
        <v>85</v>
      </c>
      <c r="C848" s="29" t="str">
        <f t="shared" ref="C848:C850" si="60">HYPERLINK("https://en.wikipedia.org/wiki/Fun_House_(The_Stooges_album)","Fun House")</f>
        <v>Fun House</v>
      </c>
      <c r="D848" s="27">
        <v>1970</v>
      </c>
    </row>
    <row r="849" spans="1:4" ht="12.75">
      <c r="A849" s="7" t="s">
        <v>3359</v>
      </c>
      <c r="B849" s="8">
        <v>85</v>
      </c>
      <c r="C849" s="9" t="str">
        <f t="shared" si="60"/>
        <v>Fun House</v>
      </c>
      <c r="D849" s="7">
        <v>1970</v>
      </c>
    </row>
    <row r="850" spans="1:4" ht="12.75">
      <c r="A850" s="27" t="s">
        <v>3360</v>
      </c>
      <c r="B850" s="28">
        <v>77</v>
      </c>
      <c r="C850" s="29" t="str">
        <f t="shared" si="60"/>
        <v>Fun House</v>
      </c>
      <c r="D850" s="27">
        <v>1970</v>
      </c>
    </row>
    <row r="851" spans="1:4" ht="12.75">
      <c r="A851" s="40">
        <v>1969</v>
      </c>
      <c r="B851" s="8">
        <v>65</v>
      </c>
      <c r="C851" s="9" t="str">
        <f>HYPERLINK("https://en.wikipedia.org/wiki/The_Stooges_(album)","The Stooges")</f>
        <v>The Stooges</v>
      </c>
      <c r="D851" s="7">
        <v>1969</v>
      </c>
    </row>
    <row r="852" spans="1:4" ht="12.75">
      <c r="A852" s="27" t="s">
        <v>3361</v>
      </c>
      <c r="B852" s="28">
        <v>49</v>
      </c>
      <c r="C852" s="29" t="str">
        <f>HYPERLINK("https://en.wikipedia.org/wiki/Raw_Power","Raw Power")</f>
        <v>Raw Power</v>
      </c>
      <c r="D852" s="27">
        <v>1973</v>
      </c>
    </row>
    <row r="853" spans="1:4" ht="12.75">
      <c r="A853" s="152"/>
      <c r="B853" s="153"/>
      <c r="C853" s="153"/>
      <c r="D853" s="154"/>
    </row>
    <row r="854" spans="1:4" ht="18">
      <c r="A854" s="41" t="s">
        <v>3362</v>
      </c>
      <c r="B854" s="23">
        <v>44889</v>
      </c>
      <c r="C854" s="24"/>
      <c r="D854" s="32"/>
    </row>
    <row r="855" spans="1:4" ht="12.75">
      <c r="A855" s="26" t="s">
        <v>2</v>
      </c>
      <c r="B855" s="26" t="s">
        <v>3</v>
      </c>
      <c r="C855" s="26" t="s">
        <v>4</v>
      </c>
      <c r="D855" s="26" t="s">
        <v>5</v>
      </c>
    </row>
    <row r="856" spans="1:4" ht="12.75">
      <c r="A856" s="7" t="s">
        <v>3363</v>
      </c>
      <c r="B856" s="8">
        <v>591</v>
      </c>
      <c r="C856" s="19" t="s">
        <v>3364</v>
      </c>
      <c r="D856" s="7">
        <v>2003</v>
      </c>
    </row>
    <row r="857" spans="1:4" ht="12.75">
      <c r="A857" s="10" t="s">
        <v>3365</v>
      </c>
      <c r="B857" s="11">
        <v>588</v>
      </c>
      <c r="C857" s="20" t="s">
        <v>3366</v>
      </c>
      <c r="D857" s="10">
        <v>2001</v>
      </c>
    </row>
    <row r="858" spans="1:4" ht="12.75">
      <c r="A858" s="7" t="s">
        <v>3367</v>
      </c>
      <c r="B858" s="8">
        <v>532</v>
      </c>
      <c r="C858" s="19" t="s">
        <v>3366</v>
      </c>
      <c r="D858" s="7">
        <v>2001</v>
      </c>
    </row>
    <row r="859" spans="1:4" ht="12.75">
      <c r="A859" s="10" t="s">
        <v>3368</v>
      </c>
      <c r="B859" s="11">
        <v>398</v>
      </c>
      <c r="C859" s="20" t="s">
        <v>3369</v>
      </c>
      <c r="D859" s="10">
        <v>2020</v>
      </c>
    </row>
    <row r="860" spans="1:4" ht="12.75">
      <c r="A860" s="7" t="s">
        <v>3370</v>
      </c>
      <c r="B860" s="8">
        <v>369</v>
      </c>
      <c r="C860" s="19" t="s">
        <v>3371</v>
      </c>
      <c r="D860" s="7">
        <v>2005</v>
      </c>
    </row>
    <row r="861" spans="1:4" ht="12.75">
      <c r="A861" s="27" t="s">
        <v>3372</v>
      </c>
      <c r="B861" s="28">
        <v>335</v>
      </c>
      <c r="C861" s="35" t="s">
        <v>3366</v>
      </c>
      <c r="D861" s="27">
        <v>2001</v>
      </c>
    </row>
    <row r="862" spans="1:4" ht="12.75">
      <c r="A862" s="7" t="s">
        <v>3373</v>
      </c>
      <c r="B862" s="8">
        <v>325</v>
      </c>
      <c r="C862" s="19" t="s">
        <v>3369</v>
      </c>
      <c r="D862" s="7">
        <v>2020</v>
      </c>
    </row>
    <row r="863" spans="1:4" ht="12.75">
      <c r="A863" s="27" t="s">
        <v>3374</v>
      </c>
      <c r="B863" s="28">
        <v>283</v>
      </c>
      <c r="C863" s="35" t="s">
        <v>3371</v>
      </c>
      <c r="D863" s="27">
        <v>2005</v>
      </c>
    </row>
    <row r="864" spans="1:4" ht="12.75">
      <c r="A864" s="7" t="s">
        <v>3375</v>
      </c>
      <c r="B864" s="8">
        <v>281</v>
      </c>
      <c r="C864" s="19" t="s">
        <v>3366</v>
      </c>
      <c r="D864" s="7">
        <v>2001</v>
      </c>
    </row>
    <row r="865" spans="1:4" ht="12.75">
      <c r="A865" s="27" t="s">
        <v>3376</v>
      </c>
      <c r="B865" s="28">
        <v>277</v>
      </c>
      <c r="C865" s="35" t="s">
        <v>3364</v>
      </c>
      <c r="D865" s="27">
        <v>2003</v>
      </c>
    </row>
    <row r="866" spans="1:4" ht="12.75">
      <c r="A866" s="152"/>
      <c r="B866" s="153"/>
      <c r="C866" s="153"/>
      <c r="D866" s="154"/>
    </row>
    <row r="867" spans="1:4" ht="18">
      <c r="A867" s="22" t="s">
        <v>3377</v>
      </c>
      <c r="B867" s="23">
        <v>44250</v>
      </c>
      <c r="C867" s="24"/>
      <c r="D867" s="32" t="s">
        <v>1</v>
      </c>
    </row>
    <row r="868" spans="1:4" ht="12.75">
      <c r="A868" s="26" t="s">
        <v>2</v>
      </c>
      <c r="B868" s="26" t="s">
        <v>3</v>
      </c>
      <c r="C868" s="26" t="s">
        <v>4</v>
      </c>
      <c r="D868" s="26" t="s">
        <v>5</v>
      </c>
    </row>
    <row r="869" spans="1:4" ht="12.75">
      <c r="A869" s="61" t="str">
        <f>HYPERLINK("https://www.youtube.com/watch?v=9EzeW5KoPUI","Casimir Pulaski Day")</f>
        <v>Casimir Pulaski Day</v>
      </c>
      <c r="B869" s="8">
        <v>714</v>
      </c>
      <c r="C869" s="9" t="str">
        <f t="shared" ref="C869:C870" si="61">HYPERLINK("http://en.wikipedia.org/wiki/Illinois_(album)","Illinois")</f>
        <v>Illinois</v>
      </c>
      <c r="D869" s="7">
        <v>2005</v>
      </c>
    </row>
    <row r="870" spans="1:4" ht="12.75">
      <c r="A870" s="71" t="str">
        <f>HYPERLINK("https://www.youtube.com/watch?v=pBMwwJMkcRA","The Predatory Wasp of the Palisades Is Out to Get Us!")</f>
        <v>The Predatory Wasp of the Palisades Is Out to Get Us!</v>
      </c>
      <c r="B870" s="11">
        <v>648</v>
      </c>
      <c r="C870" s="12" t="str">
        <f t="shared" si="61"/>
        <v>Illinois</v>
      </c>
      <c r="D870" s="10">
        <v>2005</v>
      </c>
    </row>
    <row r="871" spans="1:4" ht="12.75">
      <c r="A871" s="61" t="str">
        <f>HYPERLINK("https://www.youtube.com/watch?v=8R_3mXZBsuU","Impossible Soul")</f>
        <v>Impossible Soul</v>
      </c>
      <c r="B871" s="8">
        <v>636</v>
      </c>
      <c r="C871" s="9" t="str">
        <f>HYPERLINK("http://en.wikipedia.org/wiki/The_Age_of_Adz","The Age of Adz")</f>
        <v>The Age of Adz</v>
      </c>
      <c r="D871" s="7">
        <v>2010</v>
      </c>
    </row>
    <row r="872" spans="1:4" ht="12.75">
      <c r="A872" s="46" t="str">
        <f>HYPERLINK("https://www.youtube.com/watch?v=c_-cUdmdWgU","Chicago")</f>
        <v>Chicago</v>
      </c>
      <c r="B872" s="28">
        <v>521</v>
      </c>
      <c r="C872" s="29" t="str">
        <f>HYPERLINK("http://en.wikipedia.org/wiki/Illinois_(album)","Illinois")</f>
        <v>Illinois</v>
      </c>
      <c r="D872" s="27">
        <v>2005</v>
      </c>
    </row>
    <row r="873" spans="1:4" ht="12.75">
      <c r="A873" s="19" t="s">
        <v>3378</v>
      </c>
      <c r="B873" s="8">
        <v>491</v>
      </c>
      <c r="C873" s="9" t="s">
        <v>3379</v>
      </c>
      <c r="D873" s="7">
        <v>2015</v>
      </c>
    </row>
    <row r="874" spans="1:4" ht="12.75">
      <c r="A874" s="71" t="str">
        <f>HYPERLINK("https://www.youtube.com/watch?v=rmJwraC4p5A","Come On! Feel the Illinoise!")</f>
        <v>Come On! Feel the Illinoise!</v>
      </c>
      <c r="B874" s="11">
        <v>435</v>
      </c>
      <c r="C874" s="12" t="str">
        <f>HYPERLINK("http://en.wikipedia.org/wiki/Illinois_(album)","Illinois")</f>
        <v>Illinois</v>
      </c>
      <c r="D874" s="10">
        <v>2005</v>
      </c>
    </row>
    <row r="875" spans="1:4" ht="12.75">
      <c r="A875" s="61" t="str">
        <f>HYPERLINK("https://www.youtube.com/watch?v=JTeKpWp8Psw","Fourth of July")</f>
        <v>Fourth of July</v>
      </c>
      <c r="B875" s="8">
        <v>395</v>
      </c>
      <c r="C875" s="9" t="str">
        <f>HYPERLINK("https://en.wikipedia.org/wiki/Carrie_%26_Lowell","Carrie &amp; Lowell")</f>
        <v>Carrie &amp; Lowell</v>
      </c>
      <c r="D875" s="7">
        <v>2015</v>
      </c>
    </row>
    <row r="876" spans="1:4" ht="12.75">
      <c r="A876" s="35" t="s">
        <v>3380</v>
      </c>
      <c r="B876" s="11">
        <v>386</v>
      </c>
      <c r="C876" s="12" t="s">
        <v>3379</v>
      </c>
      <c r="D876" s="10">
        <v>2015</v>
      </c>
    </row>
    <row r="877" spans="1:4" ht="12.75">
      <c r="A877" s="19" t="s">
        <v>3381</v>
      </c>
      <c r="B877" s="8">
        <v>381</v>
      </c>
      <c r="C877" s="9" t="s">
        <v>3379</v>
      </c>
      <c r="D877" s="7">
        <v>2015</v>
      </c>
    </row>
    <row r="878" spans="1:4" ht="12.75">
      <c r="A878" s="46" t="str">
        <f>HYPERLINK("https://www.youtube.com/watch?v=K5ygoDnlGCg","John Wayne Gacy Jr.")</f>
        <v>John Wayne Gacy Jr.</v>
      </c>
      <c r="B878" s="11">
        <v>254</v>
      </c>
      <c r="C878" s="12" t="str">
        <f>HYPERLINK("http://en.wikipedia.org/wiki/Illinois_(album)","Illinois")</f>
        <v>Illinois</v>
      </c>
      <c r="D878" s="10">
        <v>2005</v>
      </c>
    </row>
    <row r="879" spans="1:4" ht="12.75">
      <c r="A879" s="152"/>
      <c r="B879" s="153"/>
      <c r="C879" s="153"/>
      <c r="D879" s="154"/>
    </row>
    <row r="880" spans="1:4" ht="18">
      <c r="A880" s="22" t="s">
        <v>3382</v>
      </c>
      <c r="B880" s="3">
        <v>44572</v>
      </c>
      <c r="C880" s="4"/>
      <c r="D880" s="5" t="s">
        <v>1</v>
      </c>
    </row>
    <row r="881" spans="1:4" ht="12.75">
      <c r="A881" s="33" t="s">
        <v>2</v>
      </c>
      <c r="B881" s="6" t="s">
        <v>3</v>
      </c>
      <c r="C881" s="6" t="s">
        <v>4</v>
      </c>
      <c r="D881" s="6" t="s">
        <v>5</v>
      </c>
    </row>
    <row r="882" spans="1:4" ht="12.75">
      <c r="A882" s="19" t="s">
        <v>2351</v>
      </c>
      <c r="B882" s="8">
        <v>117</v>
      </c>
      <c r="C882" s="9" t="s">
        <v>3383</v>
      </c>
      <c r="D882" s="7">
        <v>1994</v>
      </c>
    </row>
    <row r="883" spans="1:4" ht="12.75">
      <c r="A883" s="35" t="s">
        <v>3384</v>
      </c>
      <c r="B883" s="11">
        <v>97</v>
      </c>
      <c r="C883" s="12" t="s">
        <v>3383</v>
      </c>
      <c r="D883" s="10">
        <v>1994</v>
      </c>
    </row>
    <row r="884" spans="1:4" ht="12.75">
      <c r="A884" s="19" t="s">
        <v>3385</v>
      </c>
      <c r="B884" s="8">
        <v>72</v>
      </c>
      <c r="C884" s="9" t="s">
        <v>3386</v>
      </c>
      <c r="D884" s="7">
        <v>1998</v>
      </c>
    </row>
    <row r="885" spans="1:4" ht="12.75">
      <c r="A885" s="35" t="s">
        <v>3387</v>
      </c>
      <c r="B885" s="11">
        <v>71</v>
      </c>
      <c r="C885" s="12" t="s">
        <v>3386</v>
      </c>
      <c r="D885" s="10">
        <v>1998</v>
      </c>
    </row>
    <row r="886" spans="1:4" ht="12.75">
      <c r="A886" s="19" t="s">
        <v>3386</v>
      </c>
      <c r="B886" s="8">
        <v>67</v>
      </c>
      <c r="C886" s="9" t="s">
        <v>3386</v>
      </c>
      <c r="D886" s="7">
        <v>1998</v>
      </c>
    </row>
    <row r="887" spans="1:4" ht="12.75">
      <c r="A887" s="35" t="s">
        <v>3388</v>
      </c>
      <c r="B887" s="11">
        <v>58</v>
      </c>
      <c r="C887" s="12" t="s">
        <v>3383</v>
      </c>
      <c r="D887" s="10">
        <v>1994</v>
      </c>
    </row>
    <row r="888" spans="1:4" ht="12.75">
      <c r="A888" s="111">
        <v>8</v>
      </c>
      <c r="B888" s="8">
        <v>42</v>
      </c>
      <c r="C888" s="9" t="s">
        <v>3382</v>
      </c>
      <c r="D888" s="7">
        <v>1995</v>
      </c>
    </row>
    <row r="889" spans="1:4" ht="12.75">
      <c r="A889" s="35" t="s">
        <v>3389</v>
      </c>
      <c r="B889" s="11">
        <v>40</v>
      </c>
      <c r="C889" s="12" t="s">
        <v>3382</v>
      </c>
      <c r="D889" s="10">
        <v>1995</v>
      </c>
    </row>
    <row r="890" spans="1:4" ht="12.75">
      <c r="A890" s="111">
        <v>47</v>
      </c>
      <c r="B890" s="8">
        <v>37</v>
      </c>
      <c r="C890" s="9" t="s">
        <v>3383</v>
      </c>
      <c r="D890" s="7">
        <v>1994</v>
      </c>
    </row>
    <row r="891" spans="1:4" ht="12.75">
      <c r="A891" s="35" t="s">
        <v>3390</v>
      </c>
      <c r="B891" s="11">
        <v>35</v>
      </c>
      <c r="C891" s="12" t="s">
        <v>3386</v>
      </c>
      <c r="D891" s="10">
        <v>1998</v>
      </c>
    </row>
    <row r="892" spans="1:4" ht="12.75">
      <c r="A892" s="152"/>
      <c r="B892" s="153"/>
      <c r="C892" s="153"/>
      <c r="D892" s="154"/>
    </row>
    <row r="893" spans="1:4" ht="18">
      <c r="A893" s="22" t="str">
        <f>HYPERLINK("https://www.reddit.com/r/indieheads/comments/4diqcm/top_ten_tuesday_sun_kil_moon/","Sun Kil Moon")</f>
        <v>Sun Kil Moon</v>
      </c>
      <c r="B893" s="23">
        <v>42465</v>
      </c>
      <c r="C893" s="24"/>
      <c r="D893" s="24"/>
    </row>
    <row r="894" spans="1:4" ht="12.75">
      <c r="A894" s="26" t="s">
        <v>2</v>
      </c>
      <c r="B894" s="26" t="s">
        <v>3</v>
      </c>
      <c r="C894" s="26" t="s">
        <v>4</v>
      </c>
      <c r="D894" s="26" t="s">
        <v>5</v>
      </c>
    </row>
    <row r="895" spans="1:4" ht="12.75">
      <c r="A895" s="9" t="str">
        <f>HYPERLINK("https://www.youtube.com/watch?v=oiV0pHdNJAY","Duk Koo Kim")</f>
        <v>Duk Koo Kim</v>
      </c>
      <c r="B895" s="8">
        <v>77</v>
      </c>
      <c r="C895" s="9" t="str">
        <f>HYPERLINK("https://en.wikipedia.org/wiki/Ghosts_of_the_Great_Highway","Ghosts of the Great Highway")</f>
        <v>Ghosts of the Great Highway</v>
      </c>
      <c r="D895" s="7">
        <v>2003</v>
      </c>
    </row>
    <row r="896" spans="1:4" ht="12.75">
      <c r="A896" s="29" t="str">
        <f>HYPERLINK("https://www.youtube.com/watch?v=65DxMFO9gg8","Lost Verses")</f>
        <v>Lost Verses</v>
      </c>
      <c r="B896" s="28">
        <v>71</v>
      </c>
      <c r="C896" s="29" t="str">
        <f>HYPERLINK("https://en.wikipedia.org/wiki/April_(Sun_Kil_Moon_album)","April")</f>
        <v>April</v>
      </c>
      <c r="D896" s="27">
        <v>2008</v>
      </c>
    </row>
    <row r="897" spans="1:4" ht="12.75">
      <c r="A897" s="9" t="str">
        <f>HYPERLINK("https://www.youtube.com/watch?v=GBNdOTu2Wn0","Carissa")</f>
        <v>Carissa</v>
      </c>
      <c r="B897" s="8">
        <v>62</v>
      </c>
      <c r="C897" s="9" t="str">
        <f>HYPERLINK("https://en.wikipedia.org/wiki/Benji_(album)","Benji")</f>
        <v>Benji</v>
      </c>
      <c r="D897" s="7">
        <v>2014</v>
      </c>
    </row>
    <row r="898" spans="1:4" ht="12.75">
      <c r="A898" s="29" t="str">
        <f>HYPERLINK("https://www.youtube.com/watch?v=AKRA7weVyLs","Carry Me Ohio")</f>
        <v>Carry Me Ohio</v>
      </c>
      <c r="B898" s="28">
        <v>58</v>
      </c>
      <c r="C898" s="29" t="str">
        <f>HYPERLINK("https://en.wikipedia.org/wiki/Ghosts_of_the_Great_Highway","Ghosts of the Great Highway")</f>
        <v>Ghosts of the Great Highway</v>
      </c>
      <c r="D898" s="27">
        <v>2003</v>
      </c>
    </row>
    <row r="899" spans="1:4" ht="12.75">
      <c r="A899" s="9" t="str">
        <f>HYPERLINK("https://www.youtube.com/watch?v=dtLUtcmJk0Q","Ålesund")</f>
        <v>Ålesund</v>
      </c>
      <c r="B899" s="8">
        <v>53</v>
      </c>
      <c r="C899" s="9" t="str">
        <f>HYPERLINK("https://en.wikipedia.org/wiki/Admiral_Fell_Promises","Admiral Fell Promises")</f>
        <v>Admiral Fell Promises</v>
      </c>
      <c r="D899" s="7">
        <v>2010</v>
      </c>
    </row>
    <row r="900" spans="1:4" ht="12.75">
      <c r="A900" s="29" t="str">
        <f>HYPERLINK("https://www.youtube.com/watch?v=YjA3EbKsl4E","Glenn Tipton")</f>
        <v>Glenn Tipton</v>
      </c>
      <c r="B900" s="28">
        <v>51</v>
      </c>
      <c r="C900" s="29" t="str">
        <f>HYPERLINK("https://en.wikipedia.org/wiki/Ghosts_of_the_Great_Highway","Ghosts of the Great Highway")</f>
        <v>Ghosts of the Great Highway</v>
      </c>
      <c r="D900" s="27">
        <v>2003</v>
      </c>
    </row>
    <row r="901" spans="1:4" ht="12.75">
      <c r="A901" s="9" t="str">
        <f>HYPERLINK("https://www.youtube.com/watch?v=_JKUqzlsVVU","Moorestown")</f>
        <v>Moorestown</v>
      </c>
      <c r="B901" s="8">
        <v>46</v>
      </c>
      <c r="C901" s="9" t="str">
        <f>HYPERLINK("https://en.wikipedia.org/wiki/April_(Sun_Kil_Moon_album)","April")</f>
        <v>April</v>
      </c>
      <c r="D901" s="7">
        <v>2008</v>
      </c>
    </row>
    <row r="902" spans="1:4" ht="12.75">
      <c r="A902" s="29" t="str">
        <f>HYPERLINK("https://www.youtube.com/watch?v=Sy8cklFZ3sA","I Watched the Film the Song Remains the Same")</f>
        <v>I Watched the Film the Song Remains the Same</v>
      </c>
      <c r="B902" s="28">
        <v>43</v>
      </c>
      <c r="C902" s="29" t="str">
        <f>HYPERLINK("https://en.wikipedia.org/wiki/Benji_(album)","Benji")</f>
        <v>Benji</v>
      </c>
      <c r="D902" s="27">
        <v>2014</v>
      </c>
    </row>
    <row r="903" spans="1:4" ht="12.75">
      <c r="A903" s="9" t="str">
        <f>HYPERLINK("https://www.youtube.com/watch?v=jW3_8Q45xM8","Salvador Sanchez")</f>
        <v>Salvador Sanchez</v>
      </c>
      <c r="B903" s="8">
        <v>23</v>
      </c>
      <c r="C903" s="9" t="str">
        <f>HYPERLINK("https://en.wikipedia.org/wiki/Ghosts_of_the_Great_Highway","Ghosts of the Great Highway")</f>
        <v>Ghosts of the Great Highway</v>
      </c>
      <c r="D903" s="7">
        <v>2003</v>
      </c>
    </row>
    <row r="904" spans="1:4" ht="12.75">
      <c r="A904" s="29" t="str">
        <f>HYPERLINK("https://www.youtube.com/watch?v=6I2NUYf3efQ","Heron Blue")</f>
        <v>Heron Blue</v>
      </c>
      <c r="B904" s="28">
        <v>22</v>
      </c>
      <c r="C904" s="29" t="str">
        <f>HYPERLINK("https://en.wikipedia.org/wiki/April_(Sun_Kil_Moon_album)","April")</f>
        <v>April</v>
      </c>
      <c r="D904" s="27">
        <v>2008</v>
      </c>
    </row>
    <row r="905" spans="1:4" ht="12.75">
      <c r="A905" s="152"/>
      <c r="B905" s="153"/>
      <c r="C905" s="153"/>
      <c r="D905" s="154"/>
    </row>
    <row r="906" spans="1:4" ht="18">
      <c r="A906" s="22" t="str">
        <f>HYPERLINK("https://www.reddit.com/r/indieheads/comments/a9f6lt/top_ten_tuesday_superchunk/","Superchunk")</f>
        <v>Superchunk</v>
      </c>
      <c r="B906" s="43">
        <v>43459</v>
      </c>
      <c r="C906" s="24"/>
      <c r="D906" s="24"/>
    </row>
    <row r="907" spans="1:4" ht="12.75">
      <c r="A907" s="26" t="s">
        <v>2</v>
      </c>
      <c r="B907" s="26" t="s">
        <v>3</v>
      </c>
      <c r="C907" s="26" t="s">
        <v>4</v>
      </c>
      <c r="D907" s="26" t="s">
        <v>5</v>
      </c>
    </row>
    <row r="908" spans="1:4" ht="12.75">
      <c r="A908" s="7" t="s">
        <v>3391</v>
      </c>
      <c r="B908" s="8">
        <v>88</v>
      </c>
      <c r="C908" s="9" t="str">
        <f>HYPERLINK("https://en.wikipedia.org/wiki/Here%27s_Where_the_Strings_Come_In","Here's Where the Strings Come In")</f>
        <v>Here's Where the Strings Come In</v>
      </c>
      <c r="D908" s="7">
        <v>1995</v>
      </c>
    </row>
    <row r="909" spans="1:4" ht="12.75">
      <c r="A909" s="27" t="s">
        <v>3392</v>
      </c>
      <c r="B909" s="28">
        <v>59</v>
      </c>
      <c r="C909" s="29" t="str">
        <f t="shared" ref="C909:C910" si="62">HYPERLINK("https://en.wikipedia.org/wiki/Foolish_(album)","Foolish")</f>
        <v>Foolish</v>
      </c>
      <c r="D909" s="27">
        <v>1994</v>
      </c>
    </row>
    <row r="910" spans="1:4" ht="12.75">
      <c r="A910" s="7" t="s">
        <v>3393</v>
      </c>
      <c r="B910" s="8">
        <v>52</v>
      </c>
      <c r="C910" s="9" t="str">
        <f t="shared" si="62"/>
        <v>Foolish</v>
      </c>
      <c r="D910" s="7">
        <v>1994</v>
      </c>
    </row>
    <row r="911" spans="1:4" ht="12.75">
      <c r="A911" s="27" t="s">
        <v>3394</v>
      </c>
      <c r="B911" s="28">
        <v>49</v>
      </c>
      <c r="C911" s="29" t="str">
        <f>HYPERLINK("https://en.wikipedia.org/wiki/On_the_Mouth","On the Mouth")</f>
        <v>On the Mouth</v>
      </c>
      <c r="D911" s="27">
        <v>1993</v>
      </c>
    </row>
    <row r="912" spans="1:4" ht="12.75">
      <c r="A912" s="7" t="s">
        <v>3395</v>
      </c>
      <c r="B912" s="8">
        <v>39</v>
      </c>
      <c r="C912" s="9" t="str">
        <f>HYPERLINK("https://en.wikipedia.org/wiki/Superchunk_(album)","Superchunk")</f>
        <v>Superchunk</v>
      </c>
      <c r="D912" s="7">
        <v>1990</v>
      </c>
    </row>
    <row r="913" spans="1:4" ht="12.75">
      <c r="A913" s="27" t="s">
        <v>3396</v>
      </c>
      <c r="B913" s="28">
        <v>34</v>
      </c>
      <c r="C913" s="29" t="str">
        <f>HYPERLINK("https://en.wikipedia.org/wiki/No_Pocky_for_Kitty","No Pocky for Kitty")</f>
        <v>No Pocky for Kitty</v>
      </c>
      <c r="D913" s="27">
        <v>1991</v>
      </c>
    </row>
    <row r="914" spans="1:4" ht="12.75">
      <c r="A914" s="7" t="s">
        <v>3397</v>
      </c>
      <c r="B914" s="8">
        <v>27</v>
      </c>
      <c r="C914" s="9" t="str">
        <f>HYPERLINK("https://en.wikipedia.org/wiki/Foolish_(album)","Foolish")</f>
        <v>Foolish</v>
      </c>
      <c r="D914" s="7">
        <v>1994</v>
      </c>
    </row>
    <row r="915" spans="1:4" ht="12.75">
      <c r="A915" s="27" t="s">
        <v>3398</v>
      </c>
      <c r="B915" s="28">
        <v>27</v>
      </c>
      <c r="C915" s="29" t="str">
        <f>HYPERLINK("https://en.wikipedia.org/wiki/Here%27s_Where_the_Strings_Come_In","Here's Where the Strings Come In")</f>
        <v>Here's Where the Strings Come In</v>
      </c>
      <c r="D915" s="27">
        <v>1995</v>
      </c>
    </row>
    <row r="916" spans="1:4" ht="12.75">
      <c r="A916" s="7" t="s">
        <v>3399</v>
      </c>
      <c r="B916" s="8">
        <v>24</v>
      </c>
      <c r="C916" s="9" t="str">
        <f>HYPERLINK("https://en.wikipedia.org/wiki/Majesty_Shredding","Majesty Shredding")</f>
        <v>Majesty Shredding</v>
      </c>
      <c r="D916" s="7">
        <v>2010</v>
      </c>
    </row>
    <row r="917" spans="1:4" ht="12.75">
      <c r="A917" s="27" t="s">
        <v>3400</v>
      </c>
      <c r="B917" s="28">
        <v>23</v>
      </c>
      <c r="C917" s="29" t="str">
        <f>HYPERLINK("https://en.wikipedia.org/wiki/On_the_Mouth","On the Mouth")</f>
        <v>On the Mouth</v>
      </c>
      <c r="D917" s="27">
        <v>1993</v>
      </c>
    </row>
    <row r="918" spans="1:4" ht="12.75">
      <c r="A918" s="152"/>
      <c r="B918" s="153"/>
      <c r="C918" s="153"/>
      <c r="D918" s="154"/>
    </row>
    <row r="919" spans="1:4" ht="18">
      <c r="A919" s="22" t="s">
        <v>3401</v>
      </c>
      <c r="B919" s="43">
        <v>44124</v>
      </c>
      <c r="C919" s="24"/>
      <c r="D919" s="32" t="s">
        <v>1</v>
      </c>
    </row>
    <row r="920" spans="1:4" ht="12.75">
      <c r="A920" s="26" t="s">
        <v>2</v>
      </c>
      <c r="B920" s="26" t="s">
        <v>3</v>
      </c>
      <c r="C920" s="26" t="s">
        <v>4</v>
      </c>
      <c r="D920" s="26" t="s">
        <v>5</v>
      </c>
    </row>
    <row r="921" spans="1:4" ht="12.75">
      <c r="A921" s="7" t="s">
        <v>3402</v>
      </c>
      <c r="B921" s="8">
        <v>67</v>
      </c>
      <c r="C921" s="9" t="s">
        <v>3403</v>
      </c>
      <c r="D921" s="7">
        <v>2001</v>
      </c>
    </row>
    <row r="922" spans="1:4" ht="12.75">
      <c r="A922" s="27" t="s">
        <v>3404</v>
      </c>
      <c r="B922" s="28">
        <v>65</v>
      </c>
      <c r="C922" s="27"/>
      <c r="D922" s="27">
        <v>1996</v>
      </c>
    </row>
    <row r="923" spans="1:4" ht="12.75">
      <c r="A923" s="7" t="s">
        <v>3405</v>
      </c>
      <c r="B923" s="8">
        <v>62</v>
      </c>
      <c r="C923" s="9" t="s">
        <v>3406</v>
      </c>
      <c r="D923" s="7">
        <v>2003</v>
      </c>
    </row>
    <row r="924" spans="1:4" ht="12.75">
      <c r="A924" s="27" t="s">
        <v>3407</v>
      </c>
      <c r="B924" s="28">
        <v>60</v>
      </c>
      <c r="C924" s="29" t="s">
        <v>3408</v>
      </c>
      <c r="D924" s="27">
        <v>1997</v>
      </c>
    </row>
    <row r="925" spans="1:4" ht="12.75">
      <c r="A925" s="7" t="s">
        <v>3409</v>
      </c>
      <c r="B925" s="8">
        <v>57</v>
      </c>
      <c r="C925" s="9" t="s">
        <v>3410</v>
      </c>
      <c r="D925" s="7">
        <v>1999</v>
      </c>
    </row>
    <row r="926" spans="1:4" ht="12.75">
      <c r="A926" s="27" t="s">
        <v>3411</v>
      </c>
      <c r="B926" s="28">
        <v>54</v>
      </c>
      <c r="C926" s="29" t="s">
        <v>3412</v>
      </c>
      <c r="D926" s="27">
        <v>1996</v>
      </c>
    </row>
    <row r="927" spans="1:4" ht="12.75">
      <c r="A927" s="7" t="s">
        <v>3413</v>
      </c>
      <c r="B927" s="8">
        <v>52</v>
      </c>
      <c r="C927" s="9" t="s">
        <v>3403</v>
      </c>
      <c r="D927" s="7">
        <v>2001</v>
      </c>
    </row>
    <row r="928" spans="1:4" ht="12.75">
      <c r="A928" s="27" t="s">
        <v>3414</v>
      </c>
      <c r="B928" s="28">
        <v>52</v>
      </c>
      <c r="C928" s="29" t="s">
        <v>3403</v>
      </c>
      <c r="D928" s="27">
        <v>2001</v>
      </c>
    </row>
    <row r="929" spans="1:4" ht="12.75">
      <c r="A929" s="7" t="s">
        <v>3224</v>
      </c>
      <c r="B929" s="8">
        <v>48</v>
      </c>
      <c r="C929" s="9" t="s">
        <v>3408</v>
      </c>
      <c r="D929" s="7">
        <v>1997</v>
      </c>
    </row>
    <row r="930" spans="1:4" ht="12.75">
      <c r="A930" s="27" t="s">
        <v>3415</v>
      </c>
      <c r="B930" s="28">
        <v>42</v>
      </c>
      <c r="C930" s="29" t="s">
        <v>3406</v>
      </c>
      <c r="D930" s="27">
        <v>2003</v>
      </c>
    </row>
    <row r="931" spans="1:4" ht="12.75">
      <c r="A931" s="152"/>
      <c r="B931" s="153"/>
      <c r="C931" s="153"/>
      <c r="D931" s="154"/>
    </row>
    <row r="932" spans="1:4" ht="18">
      <c r="A932" s="22" t="str">
        <f>HYPERLINK("https://www.reddit.com/r/indieheads/comments/3sb4jm/top_ten_tuesday_swans/","Swans")</f>
        <v>Swans</v>
      </c>
      <c r="B932" s="23">
        <v>42318</v>
      </c>
      <c r="C932" s="24"/>
      <c r="D932" s="24"/>
    </row>
    <row r="933" spans="1:4" ht="12.75">
      <c r="A933" s="26" t="s">
        <v>2</v>
      </c>
      <c r="B933" s="26" t="s">
        <v>3</v>
      </c>
      <c r="C933" s="26" t="s">
        <v>4</v>
      </c>
      <c r="D933" s="26" t="s">
        <v>5</v>
      </c>
    </row>
    <row r="934" spans="1:4" ht="12.75">
      <c r="A934" s="9" t="str">
        <f>HYPERLINK("https://www.youtube.com/watch?v=2NOc1Gnu18I","Helpless Child")</f>
        <v>Helpless Child</v>
      </c>
      <c r="B934" s="8">
        <v>127</v>
      </c>
      <c r="C934" s="9" t="str">
        <f>HYPERLINK("https://en.wikipedia.org/wiki/Soundtracks_for_the_Blind","Soundtracks for the Blind")</f>
        <v>Soundtracks for the Blind</v>
      </c>
      <c r="D934" s="7">
        <v>1996</v>
      </c>
    </row>
    <row r="935" spans="1:4" ht="12.75">
      <c r="A935" s="29" t="str">
        <f>HYPERLINK("https://www.youtube.com/watch?v=zjqdDMgpbDU","The Seer")</f>
        <v>The Seer</v>
      </c>
      <c r="B935" s="28">
        <v>109</v>
      </c>
      <c r="C935" s="29" t="str">
        <f>HYPERLINK("https://en.wikipedia.org/wiki/The_Seer_(Swans_album)","The Seer")</f>
        <v>The Seer</v>
      </c>
      <c r="D935" s="27">
        <v>2012</v>
      </c>
    </row>
    <row r="936" spans="1:4" ht="12.75">
      <c r="A936" s="9" t="str">
        <f>HYPERLINK("https://www.youtube.com/watch?v=DDEJl94PTN4","Bring the Sun/Toussaint L'Ouverture")</f>
        <v>Bring the Sun/Toussaint L'Ouverture</v>
      </c>
      <c r="B936" s="8">
        <v>107</v>
      </c>
      <c r="C936" s="9" t="str">
        <f t="shared" ref="C936:C937" si="63">HYPERLINK("https://en.wikipedia.org/wiki/To_Be_Kind","To Be Kind")</f>
        <v>To Be Kind</v>
      </c>
      <c r="D936" s="7">
        <v>2014</v>
      </c>
    </row>
    <row r="937" spans="1:4" ht="12.75">
      <c r="A937" s="29" t="str">
        <f>HYPERLINK("https://www.youtube.com/watch?v=x8fG79rn9m4","Screen Shot")</f>
        <v>Screen Shot</v>
      </c>
      <c r="B937" s="28">
        <v>84</v>
      </c>
      <c r="C937" s="29" t="str">
        <f t="shared" si="63"/>
        <v>To Be Kind</v>
      </c>
      <c r="D937" s="27">
        <v>2014</v>
      </c>
    </row>
    <row r="938" spans="1:4" ht="12.75">
      <c r="A938" s="9" t="str">
        <f>HYPERLINK("https://www.youtube.com/watch?v=bzdw1MVJQME","Lunacy")</f>
        <v>Lunacy</v>
      </c>
      <c r="B938" s="8">
        <v>81</v>
      </c>
      <c r="C938" s="9" t="str">
        <f>HYPERLINK("https://en.wikipedia.org/wiki/The_Seer_(Swans_album)","The Seer")</f>
        <v>The Seer</v>
      </c>
      <c r="D938" s="7">
        <v>2012</v>
      </c>
    </row>
    <row r="939" spans="1:4" ht="12.75">
      <c r="A939" s="29" t="str">
        <f>HYPERLINK("https://www.youtube.com/watch?v=hJWtCFTfmDo","She Loves Us")</f>
        <v>She Loves Us</v>
      </c>
      <c r="B939" s="28">
        <v>80</v>
      </c>
      <c r="C939" s="29" t="str">
        <f>HYPERLINK("https://en.wikipedia.org/wiki/To_Be_Kind","To Be Kind")</f>
        <v>To Be Kind</v>
      </c>
      <c r="D939" s="27">
        <v>2014</v>
      </c>
    </row>
    <row r="940" spans="1:4" ht="12.75">
      <c r="A940" s="9" t="str">
        <f>HYPERLINK("https://www.youtube.com/watch?v=KCWwtH9Yr54","The Sound")</f>
        <v>The Sound</v>
      </c>
      <c r="B940" s="8">
        <v>78</v>
      </c>
      <c r="C940" s="9" t="str">
        <f>HYPERLINK("https://en.wikipedia.org/wiki/Soundtracks_for_the_Blind","Soundtracks for the Blind")</f>
        <v>Soundtracks for the Blind</v>
      </c>
      <c r="D940" s="7">
        <v>1996</v>
      </c>
    </row>
    <row r="941" spans="1:4" ht="12.75">
      <c r="A941" s="29" t="str">
        <f>HYPERLINK("https://www.youtube.com/watch?v=1jSdTBGhDSg","Oxygen")</f>
        <v>Oxygen</v>
      </c>
      <c r="B941" s="28">
        <v>77</v>
      </c>
      <c r="C941" s="29" t="str">
        <f>HYPERLINK("https://en.wikipedia.org/wiki/To_Be_Kind","To Be Kind")</f>
        <v>To Be Kind</v>
      </c>
      <c r="D941" s="27">
        <v>2014</v>
      </c>
    </row>
    <row r="942" spans="1:4" ht="12.75">
      <c r="A942" s="9" t="str">
        <f>HYPERLINK("https://www.youtube.com/watch?v=eVD3JzUtQYA","Mother of the World")</f>
        <v>Mother of the World</v>
      </c>
      <c r="B942" s="8">
        <v>64</v>
      </c>
      <c r="C942" s="9" t="str">
        <f>HYPERLINK("https://en.wikipedia.org/wiki/The_Seer_(Swans_album)","The Seer")</f>
        <v>The Seer</v>
      </c>
      <c r="D942" s="7">
        <v>2012</v>
      </c>
    </row>
    <row r="943" spans="1:4" ht="12.75">
      <c r="A943" s="29" t="str">
        <f>HYPERLINK("https://www.youtube.com/watch?v=pWStaRmuXzY","Failure")</f>
        <v>Failure</v>
      </c>
      <c r="B943" s="28">
        <v>58</v>
      </c>
      <c r="C943" s="29" t="str">
        <f>HYPERLINK("https://en.wikipedia.org/wiki/White_Light_from_the_Mouth_of_Infinity","White Light from the Mouth of Infinity")</f>
        <v>White Light from the Mouth of Infinity</v>
      </c>
      <c r="D943" s="27">
        <v>1991</v>
      </c>
    </row>
    <row r="944" spans="1:4" ht="12.75">
      <c r="A944" s="152"/>
      <c r="B944" s="153"/>
      <c r="C944" s="153"/>
      <c r="D944" s="154"/>
    </row>
    <row r="945" spans="1:4" ht="18">
      <c r="A945" s="22" t="s">
        <v>3416</v>
      </c>
      <c r="B945" s="23">
        <v>44614</v>
      </c>
      <c r="C945" s="24"/>
      <c r="D945" s="32" t="s">
        <v>1</v>
      </c>
    </row>
    <row r="946" spans="1:4" ht="12.75">
      <c r="A946" s="26" t="s">
        <v>2</v>
      </c>
      <c r="B946" s="26" t="s">
        <v>3417</v>
      </c>
      <c r="C946" s="26" t="s">
        <v>4</v>
      </c>
      <c r="D946" s="26" t="s">
        <v>5</v>
      </c>
    </row>
    <row r="947" spans="1:4" ht="12.75">
      <c r="A947" s="7" t="s">
        <v>3418</v>
      </c>
      <c r="B947" s="8">
        <v>160</v>
      </c>
      <c r="C947" s="9" t="s">
        <v>3419</v>
      </c>
      <c r="D947" s="7">
        <v>2003</v>
      </c>
    </row>
    <row r="948" spans="1:4" ht="12.75">
      <c r="A948" s="27" t="s">
        <v>2834</v>
      </c>
      <c r="B948" s="28">
        <v>149</v>
      </c>
      <c r="C948" s="29" t="s">
        <v>3420</v>
      </c>
      <c r="D948" s="27">
        <v>2009</v>
      </c>
    </row>
    <row r="949" spans="1:4" ht="12.75">
      <c r="A949" s="7" t="s">
        <v>3421</v>
      </c>
      <c r="B949" s="8">
        <v>144</v>
      </c>
      <c r="C949" s="9" t="s">
        <v>3420</v>
      </c>
      <c r="D949" s="7">
        <v>2009</v>
      </c>
    </row>
    <row r="950" spans="1:4" ht="12.75">
      <c r="A950" s="27" t="s">
        <v>3422</v>
      </c>
      <c r="B950" s="28">
        <v>128</v>
      </c>
      <c r="C950" s="29" t="s">
        <v>3420</v>
      </c>
      <c r="D950" s="27">
        <v>2009</v>
      </c>
    </row>
    <row r="951" spans="1:4" ht="12.75">
      <c r="A951" s="7" t="s">
        <v>3423</v>
      </c>
      <c r="B951" s="8">
        <v>122</v>
      </c>
      <c r="C951" s="9" t="s">
        <v>3419</v>
      </c>
      <c r="D951" s="7">
        <v>2003</v>
      </c>
    </row>
    <row r="952" spans="1:4" ht="12.75">
      <c r="A952" s="27" t="s">
        <v>3424</v>
      </c>
      <c r="B952" s="28">
        <v>105</v>
      </c>
      <c r="C952" s="29" t="s">
        <v>3420</v>
      </c>
      <c r="D952" s="27">
        <v>2009</v>
      </c>
    </row>
    <row r="953" spans="1:4" ht="12.75">
      <c r="A953" s="7" t="s">
        <v>3425</v>
      </c>
      <c r="B953" s="8">
        <v>94</v>
      </c>
      <c r="C953" s="9" t="s">
        <v>3419</v>
      </c>
      <c r="D953" s="7">
        <v>2003</v>
      </c>
    </row>
    <row r="954" spans="1:4" ht="12.75">
      <c r="A954" s="27" t="s">
        <v>3426</v>
      </c>
      <c r="B954" s="28">
        <v>77</v>
      </c>
      <c r="C954" s="29" t="s">
        <v>3420</v>
      </c>
      <c r="D954" s="27">
        <v>2009</v>
      </c>
    </row>
    <row r="955" spans="1:4" ht="12.75">
      <c r="A955" s="7" t="s">
        <v>3427</v>
      </c>
      <c r="B955" s="8">
        <v>73</v>
      </c>
      <c r="C955" s="9" t="s">
        <v>3419</v>
      </c>
      <c r="D955" s="7">
        <v>2003</v>
      </c>
    </row>
    <row r="956" spans="1:4" ht="12.75">
      <c r="A956" s="27" t="s">
        <v>3428</v>
      </c>
      <c r="B956" s="28">
        <v>72</v>
      </c>
      <c r="C956" s="29" t="s">
        <v>3419</v>
      </c>
      <c r="D956" s="27">
        <v>2009</v>
      </c>
    </row>
    <row r="957" spans="1:4" ht="12.75">
      <c r="A957" s="152"/>
      <c r="B957" s="153"/>
      <c r="C957" s="153"/>
      <c r="D957" s="154"/>
    </row>
  </sheetData>
  <mergeCells count="74">
    <mergeCell ref="A593:D593"/>
    <mergeCell ref="A606:D606"/>
    <mergeCell ref="A619:D619"/>
    <mergeCell ref="A632:D632"/>
    <mergeCell ref="A528:D528"/>
    <mergeCell ref="A541:D541"/>
    <mergeCell ref="A554:D554"/>
    <mergeCell ref="A567:D567"/>
    <mergeCell ref="A580:D580"/>
    <mergeCell ref="A460:D460"/>
    <mergeCell ref="A473:D473"/>
    <mergeCell ref="A486:D486"/>
    <mergeCell ref="A499:D499"/>
    <mergeCell ref="A512:D512"/>
    <mergeCell ref="A395:D395"/>
    <mergeCell ref="A408:D408"/>
    <mergeCell ref="A421:D421"/>
    <mergeCell ref="A434:D434"/>
    <mergeCell ref="A447:D447"/>
    <mergeCell ref="A330:D330"/>
    <mergeCell ref="A343:D343"/>
    <mergeCell ref="A356:D356"/>
    <mergeCell ref="A369:D369"/>
    <mergeCell ref="A382:D382"/>
    <mergeCell ref="A265:D265"/>
    <mergeCell ref="A278:D278"/>
    <mergeCell ref="A291:D291"/>
    <mergeCell ref="A304:D304"/>
    <mergeCell ref="A317:D317"/>
    <mergeCell ref="A200:D200"/>
    <mergeCell ref="A213:D213"/>
    <mergeCell ref="A226:D226"/>
    <mergeCell ref="A239:D239"/>
    <mergeCell ref="A252:D252"/>
    <mergeCell ref="A134:D134"/>
    <mergeCell ref="A147:D147"/>
    <mergeCell ref="A160:D160"/>
    <mergeCell ref="A173:D173"/>
    <mergeCell ref="A186:D186"/>
    <mergeCell ref="A69:D69"/>
    <mergeCell ref="A82:D82"/>
    <mergeCell ref="A95:D95"/>
    <mergeCell ref="A108:D108"/>
    <mergeCell ref="A121:D121"/>
    <mergeCell ref="A1:D1"/>
    <mergeCell ref="A14:D14"/>
    <mergeCell ref="A27:D27"/>
    <mergeCell ref="A43:D43"/>
    <mergeCell ref="A56:D56"/>
    <mergeCell ref="A931:D931"/>
    <mergeCell ref="A944:D944"/>
    <mergeCell ref="A957:D957"/>
    <mergeCell ref="A827:D827"/>
    <mergeCell ref="A840:D840"/>
    <mergeCell ref="A853:D853"/>
    <mergeCell ref="A866:D866"/>
    <mergeCell ref="A879:D879"/>
    <mergeCell ref="A892:D892"/>
    <mergeCell ref="A905:D905"/>
    <mergeCell ref="A774:D774"/>
    <mergeCell ref="A787:D787"/>
    <mergeCell ref="A801:D801"/>
    <mergeCell ref="A814:D814"/>
    <mergeCell ref="A918:D918"/>
    <mergeCell ref="A709:D709"/>
    <mergeCell ref="A722:D722"/>
    <mergeCell ref="A735:D735"/>
    <mergeCell ref="A748:D748"/>
    <mergeCell ref="A761:D761"/>
    <mergeCell ref="A645:D645"/>
    <mergeCell ref="A658:D658"/>
    <mergeCell ref="A671:D671"/>
    <mergeCell ref="A684:D684"/>
    <mergeCell ref="A696:D696"/>
  </mergeCells>
  <hyperlinks>
    <hyperlink ref="D2" r:id="rId1" xr:uid="{00000000-0004-0000-0400-000000000000}"/>
    <hyperlink ref="D15" r:id="rId2" xr:uid="{00000000-0004-0000-0400-000001000000}"/>
    <hyperlink ref="A28" r:id="rId3" xr:uid="{00000000-0004-0000-0400-000002000000}"/>
    <hyperlink ref="A57" r:id="rId4" xr:uid="{00000000-0004-0000-0400-000003000000}"/>
    <hyperlink ref="D57" r:id="rId5" xr:uid="{00000000-0004-0000-0400-000004000000}"/>
    <hyperlink ref="C67" r:id="rId6" xr:uid="{00000000-0004-0000-0400-000005000000}"/>
    <hyperlink ref="A70" r:id="rId7" xr:uid="{00000000-0004-0000-0400-000006000000}"/>
    <hyperlink ref="D70" r:id="rId8" xr:uid="{00000000-0004-0000-0400-000007000000}"/>
    <hyperlink ref="C73" r:id="rId9" xr:uid="{00000000-0004-0000-0400-000008000000}"/>
    <hyperlink ref="C76" r:id="rId10" xr:uid="{00000000-0004-0000-0400-000009000000}"/>
    <hyperlink ref="C79" r:id="rId11" xr:uid="{00000000-0004-0000-0400-00000A000000}"/>
    <hyperlink ref="A83" r:id="rId12" xr:uid="{00000000-0004-0000-0400-00000B000000}"/>
    <hyperlink ref="D83" r:id="rId13" xr:uid="{00000000-0004-0000-0400-00000C000000}"/>
    <hyperlink ref="C85" r:id="rId14" xr:uid="{00000000-0004-0000-0400-00000D000000}"/>
    <hyperlink ref="C87" r:id="rId15" xr:uid="{00000000-0004-0000-0400-00000E000000}"/>
    <hyperlink ref="C88" r:id="rId16" xr:uid="{00000000-0004-0000-0400-00000F000000}"/>
    <hyperlink ref="C89" r:id="rId17" xr:uid="{00000000-0004-0000-0400-000010000000}"/>
    <hyperlink ref="C90" r:id="rId18" xr:uid="{00000000-0004-0000-0400-000011000000}"/>
    <hyperlink ref="C91" r:id="rId19" xr:uid="{00000000-0004-0000-0400-000012000000}"/>
    <hyperlink ref="C92" r:id="rId20" xr:uid="{00000000-0004-0000-0400-000013000000}"/>
    <hyperlink ref="C93" r:id="rId21" xr:uid="{00000000-0004-0000-0400-000014000000}"/>
    <hyperlink ref="C94" r:id="rId22" xr:uid="{00000000-0004-0000-0400-000015000000}"/>
    <hyperlink ref="A96" r:id="rId23" xr:uid="{00000000-0004-0000-0400-000016000000}"/>
    <hyperlink ref="A122" r:id="rId24" xr:uid="{00000000-0004-0000-0400-000017000000}"/>
    <hyperlink ref="D122" r:id="rId25" xr:uid="{00000000-0004-0000-0400-000018000000}"/>
    <hyperlink ref="C124" r:id="rId26" xr:uid="{00000000-0004-0000-0400-000019000000}"/>
    <hyperlink ref="C125" r:id="rId27" xr:uid="{00000000-0004-0000-0400-00001A000000}"/>
    <hyperlink ref="C126" r:id="rId28" xr:uid="{00000000-0004-0000-0400-00001B000000}"/>
    <hyperlink ref="C127" r:id="rId29" xr:uid="{00000000-0004-0000-0400-00001C000000}"/>
    <hyperlink ref="C128" r:id="rId30" xr:uid="{00000000-0004-0000-0400-00001D000000}"/>
    <hyperlink ref="C129" r:id="rId31" xr:uid="{00000000-0004-0000-0400-00001E000000}"/>
    <hyperlink ref="C130" r:id="rId32" xr:uid="{00000000-0004-0000-0400-00001F000000}"/>
    <hyperlink ref="C131" r:id="rId33" xr:uid="{00000000-0004-0000-0400-000020000000}"/>
    <hyperlink ref="C133" r:id="rId34" xr:uid="{00000000-0004-0000-0400-000021000000}"/>
    <hyperlink ref="A135" r:id="rId35" xr:uid="{00000000-0004-0000-0400-000022000000}"/>
    <hyperlink ref="D135" r:id="rId36" xr:uid="{00000000-0004-0000-0400-000023000000}"/>
    <hyperlink ref="C137" r:id="rId37" xr:uid="{00000000-0004-0000-0400-000024000000}"/>
    <hyperlink ref="C138" r:id="rId38" xr:uid="{00000000-0004-0000-0400-000025000000}"/>
    <hyperlink ref="C139" r:id="rId39" xr:uid="{00000000-0004-0000-0400-000026000000}"/>
    <hyperlink ref="C140" r:id="rId40" xr:uid="{00000000-0004-0000-0400-000027000000}"/>
    <hyperlink ref="C141" r:id="rId41" xr:uid="{00000000-0004-0000-0400-000028000000}"/>
    <hyperlink ref="C142" r:id="rId42" xr:uid="{00000000-0004-0000-0400-000029000000}"/>
    <hyperlink ref="C143" r:id="rId43" xr:uid="{00000000-0004-0000-0400-00002A000000}"/>
    <hyperlink ref="C144" r:id="rId44" xr:uid="{00000000-0004-0000-0400-00002B000000}"/>
    <hyperlink ref="C145" r:id="rId45" xr:uid="{00000000-0004-0000-0400-00002C000000}"/>
    <hyperlink ref="C146" r:id="rId46" xr:uid="{00000000-0004-0000-0400-00002D000000}"/>
    <hyperlink ref="A148" r:id="rId47" xr:uid="{00000000-0004-0000-0400-00002E000000}"/>
    <hyperlink ref="A187" r:id="rId48" xr:uid="{00000000-0004-0000-0400-00002F000000}"/>
    <hyperlink ref="A201" r:id="rId49" xr:uid="{00000000-0004-0000-0400-000030000000}"/>
    <hyperlink ref="D201" r:id="rId50" xr:uid="{00000000-0004-0000-0400-000031000000}"/>
    <hyperlink ref="C203" r:id="rId51" xr:uid="{00000000-0004-0000-0400-000032000000}"/>
    <hyperlink ref="C204" r:id="rId52" xr:uid="{00000000-0004-0000-0400-000033000000}"/>
    <hyperlink ref="C205" r:id="rId53" xr:uid="{00000000-0004-0000-0400-000034000000}"/>
    <hyperlink ref="C206" r:id="rId54" xr:uid="{00000000-0004-0000-0400-000035000000}"/>
    <hyperlink ref="C207" r:id="rId55" xr:uid="{00000000-0004-0000-0400-000036000000}"/>
    <hyperlink ref="C208" r:id="rId56" xr:uid="{00000000-0004-0000-0400-000037000000}"/>
    <hyperlink ref="C209" r:id="rId57" xr:uid="{00000000-0004-0000-0400-000038000000}"/>
    <hyperlink ref="C210" r:id="rId58" xr:uid="{00000000-0004-0000-0400-000039000000}"/>
    <hyperlink ref="C211" r:id="rId59" xr:uid="{00000000-0004-0000-0400-00003A000000}"/>
    <hyperlink ref="C212" r:id="rId60" xr:uid="{00000000-0004-0000-0400-00003B000000}"/>
    <hyperlink ref="D240" r:id="rId61" xr:uid="{00000000-0004-0000-0400-00003C000000}"/>
    <hyperlink ref="D253" r:id="rId62" xr:uid="{00000000-0004-0000-0400-00003D000000}"/>
    <hyperlink ref="D266" r:id="rId63" xr:uid="{00000000-0004-0000-0400-00003E000000}"/>
    <hyperlink ref="C270" r:id="rId64" xr:uid="{00000000-0004-0000-0400-00003F000000}"/>
    <hyperlink ref="C271" r:id="rId65" xr:uid="{00000000-0004-0000-0400-000040000000}"/>
    <hyperlink ref="C275" r:id="rId66" xr:uid="{00000000-0004-0000-0400-000041000000}"/>
    <hyperlink ref="A279" r:id="rId67" xr:uid="{00000000-0004-0000-0400-000042000000}"/>
    <hyperlink ref="D292" r:id="rId68" xr:uid="{00000000-0004-0000-0400-000043000000}"/>
    <hyperlink ref="D305" r:id="rId69" xr:uid="{00000000-0004-0000-0400-000044000000}"/>
    <hyperlink ref="D318" r:id="rId70" xr:uid="{00000000-0004-0000-0400-000045000000}"/>
    <hyperlink ref="A331" r:id="rId71" xr:uid="{00000000-0004-0000-0400-000046000000}"/>
    <hyperlink ref="D344" r:id="rId72" xr:uid="{00000000-0004-0000-0400-000047000000}"/>
    <hyperlink ref="A357" r:id="rId73" xr:uid="{00000000-0004-0000-0400-000048000000}"/>
    <hyperlink ref="A370" r:id="rId74" xr:uid="{00000000-0004-0000-0400-000049000000}"/>
    <hyperlink ref="D370" r:id="rId75" xr:uid="{00000000-0004-0000-0400-00004A000000}"/>
    <hyperlink ref="C372" r:id="rId76" xr:uid="{00000000-0004-0000-0400-00004B000000}"/>
    <hyperlink ref="C373" r:id="rId77" xr:uid="{00000000-0004-0000-0400-00004C000000}"/>
    <hyperlink ref="C374" r:id="rId78" xr:uid="{00000000-0004-0000-0400-00004D000000}"/>
    <hyperlink ref="C375" r:id="rId79" xr:uid="{00000000-0004-0000-0400-00004E000000}"/>
    <hyperlink ref="C376" r:id="rId80" xr:uid="{00000000-0004-0000-0400-00004F000000}"/>
    <hyperlink ref="C377" r:id="rId81" xr:uid="{00000000-0004-0000-0400-000050000000}"/>
    <hyperlink ref="C378" r:id="rId82" xr:uid="{00000000-0004-0000-0400-000051000000}"/>
    <hyperlink ref="C379" r:id="rId83" xr:uid="{00000000-0004-0000-0400-000052000000}"/>
    <hyperlink ref="C380" r:id="rId84" xr:uid="{00000000-0004-0000-0400-000053000000}"/>
    <hyperlink ref="C381" r:id="rId85" xr:uid="{00000000-0004-0000-0400-000054000000}"/>
    <hyperlink ref="D409" r:id="rId86" xr:uid="{00000000-0004-0000-0400-000055000000}"/>
    <hyperlink ref="D448" r:id="rId87" xr:uid="{00000000-0004-0000-0400-000056000000}"/>
    <hyperlink ref="A461" r:id="rId88" xr:uid="{00000000-0004-0000-0400-000057000000}"/>
    <hyperlink ref="D461" r:id="rId89" xr:uid="{00000000-0004-0000-0400-000058000000}"/>
    <hyperlink ref="C463" r:id="rId90" xr:uid="{00000000-0004-0000-0400-000059000000}"/>
    <hyperlink ref="C464" r:id="rId91" xr:uid="{00000000-0004-0000-0400-00005A000000}"/>
    <hyperlink ref="C465" r:id="rId92" xr:uid="{00000000-0004-0000-0400-00005B000000}"/>
    <hyperlink ref="C466" r:id="rId93" xr:uid="{00000000-0004-0000-0400-00005C000000}"/>
    <hyperlink ref="C467" r:id="rId94" xr:uid="{00000000-0004-0000-0400-00005D000000}"/>
    <hyperlink ref="C468" r:id="rId95" xr:uid="{00000000-0004-0000-0400-00005E000000}"/>
    <hyperlink ref="C469" r:id="rId96" xr:uid="{00000000-0004-0000-0400-00005F000000}"/>
    <hyperlink ref="C470" r:id="rId97" xr:uid="{00000000-0004-0000-0400-000060000000}"/>
    <hyperlink ref="C471" r:id="rId98" xr:uid="{00000000-0004-0000-0400-000061000000}"/>
    <hyperlink ref="C472" r:id="rId99" xr:uid="{00000000-0004-0000-0400-000062000000}"/>
    <hyperlink ref="D487" r:id="rId100" xr:uid="{00000000-0004-0000-0400-000063000000}"/>
    <hyperlink ref="A500" r:id="rId101" xr:uid="{00000000-0004-0000-0400-000064000000}"/>
    <hyperlink ref="D500" r:id="rId102" xr:uid="{00000000-0004-0000-0400-000065000000}"/>
    <hyperlink ref="C502" r:id="rId103" xr:uid="{00000000-0004-0000-0400-000066000000}"/>
    <hyperlink ref="C503" r:id="rId104" xr:uid="{00000000-0004-0000-0400-000067000000}"/>
    <hyperlink ref="C504" r:id="rId105" xr:uid="{00000000-0004-0000-0400-000068000000}"/>
    <hyperlink ref="C505" r:id="rId106" xr:uid="{00000000-0004-0000-0400-000069000000}"/>
    <hyperlink ref="C506" r:id="rId107" xr:uid="{00000000-0004-0000-0400-00006A000000}"/>
    <hyperlink ref="C507" r:id="rId108" xr:uid="{00000000-0004-0000-0400-00006B000000}"/>
    <hyperlink ref="C508" r:id="rId109" xr:uid="{00000000-0004-0000-0400-00006C000000}"/>
    <hyperlink ref="C509" r:id="rId110" xr:uid="{00000000-0004-0000-0400-00006D000000}"/>
    <hyperlink ref="C510" r:id="rId111" xr:uid="{00000000-0004-0000-0400-00006E000000}"/>
    <hyperlink ref="C511" r:id="rId112" xr:uid="{00000000-0004-0000-0400-00006F000000}"/>
    <hyperlink ref="D513" r:id="rId113" xr:uid="{00000000-0004-0000-0400-000070000000}"/>
    <hyperlink ref="A529" r:id="rId114" xr:uid="{00000000-0004-0000-0400-000071000000}"/>
    <hyperlink ref="D529" r:id="rId115" xr:uid="{00000000-0004-0000-0400-000072000000}"/>
    <hyperlink ref="C531" r:id="rId116" xr:uid="{00000000-0004-0000-0400-000073000000}"/>
    <hyperlink ref="C532" r:id="rId117" xr:uid="{00000000-0004-0000-0400-000074000000}"/>
    <hyperlink ref="C533" r:id="rId118" xr:uid="{00000000-0004-0000-0400-000075000000}"/>
    <hyperlink ref="C534" r:id="rId119" xr:uid="{00000000-0004-0000-0400-000076000000}"/>
    <hyperlink ref="C535" r:id="rId120" xr:uid="{00000000-0004-0000-0400-000077000000}"/>
    <hyperlink ref="C536" r:id="rId121" xr:uid="{00000000-0004-0000-0400-000078000000}"/>
    <hyperlink ref="C537" r:id="rId122" xr:uid="{00000000-0004-0000-0400-000079000000}"/>
    <hyperlink ref="C538" r:id="rId123" xr:uid="{00000000-0004-0000-0400-00007A000000}"/>
    <hyperlink ref="C539" r:id="rId124" xr:uid="{00000000-0004-0000-0400-00007B000000}"/>
    <hyperlink ref="C540" r:id="rId125" xr:uid="{00000000-0004-0000-0400-00007C000000}"/>
    <hyperlink ref="D542" r:id="rId126" xr:uid="{00000000-0004-0000-0400-00007D000000}"/>
    <hyperlink ref="D568" r:id="rId127" xr:uid="{00000000-0004-0000-0400-00007E000000}"/>
    <hyperlink ref="D581" r:id="rId128" xr:uid="{00000000-0004-0000-0400-00007F000000}"/>
    <hyperlink ref="A594" r:id="rId129" xr:uid="{00000000-0004-0000-0400-000080000000}"/>
    <hyperlink ref="A607" r:id="rId130" xr:uid="{00000000-0004-0000-0400-000081000000}"/>
    <hyperlink ref="D607" r:id="rId131" xr:uid="{00000000-0004-0000-0400-000082000000}"/>
    <hyperlink ref="C609" r:id="rId132" xr:uid="{00000000-0004-0000-0400-000083000000}"/>
    <hyperlink ref="C610" r:id="rId133" xr:uid="{00000000-0004-0000-0400-000084000000}"/>
    <hyperlink ref="C612" r:id="rId134" xr:uid="{00000000-0004-0000-0400-000085000000}"/>
    <hyperlink ref="C613" r:id="rId135" xr:uid="{00000000-0004-0000-0400-000086000000}"/>
    <hyperlink ref="C614" r:id="rId136" xr:uid="{00000000-0004-0000-0400-000087000000}"/>
    <hyperlink ref="C615" r:id="rId137" xr:uid="{00000000-0004-0000-0400-000088000000}"/>
    <hyperlink ref="C616" r:id="rId138" xr:uid="{00000000-0004-0000-0400-000089000000}"/>
    <hyperlink ref="C617" r:id="rId139" xr:uid="{00000000-0004-0000-0400-00008A000000}"/>
    <hyperlink ref="C618" r:id="rId140" xr:uid="{00000000-0004-0000-0400-00008B000000}"/>
    <hyperlink ref="A633" r:id="rId141" xr:uid="{00000000-0004-0000-0400-00008C000000}"/>
    <hyperlink ref="D633" r:id="rId142" xr:uid="{00000000-0004-0000-0400-00008D000000}"/>
    <hyperlink ref="C635" r:id="rId143" xr:uid="{00000000-0004-0000-0400-00008E000000}"/>
    <hyperlink ref="C636" r:id="rId144" xr:uid="{00000000-0004-0000-0400-00008F000000}"/>
    <hyperlink ref="C637" r:id="rId145" xr:uid="{00000000-0004-0000-0400-000090000000}"/>
    <hyperlink ref="C638" r:id="rId146" xr:uid="{00000000-0004-0000-0400-000091000000}"/>
    <hyperlink ref="C639" r:id="rId147" xr:uid="{00000000-0004-0000-0400-000092000000}"/>
    <hyperlink ref="C640" r:id="rId148" xr:uid="{00000000-0004-0000-0400-000093000000}"/>
    <hyperlink ref="C641" r:id="rId149" xr:uid="{00000000-0004-0000-0400-000094000000}"/>
    <hyperlink ref="C642" r:id="rId150" xr:uid="{00000000-0004-0000-0400-000095000000}"/>
    <hyperlink ref="C643" r:id="rId151" xr:uid="{00000000-0004-0000-0400-000096000000}"/>
    <hyperlink ref="C644" r:id="rId152" xr:uid="{00000000-0004-0000-0400-000097000000}"/>
    <hyperlink ref="D646" r:id="rId153" xr:uid="{00000000-0004-0000-0400-000098000000}"/>
    <hyperlink ref="D672" r:id="rId154" xr:uid="{00000000-0004-0000-0400-000099000000}"/>
    <hyperlink ref="D685" r:id="rId155" xr:uid="{00000000-0004-0000-0400-00009A000000}"/>
    <hyperlink ref="A710" r:id="rId156" xr:uid="{00000000-0004-0000-0400-00009B000000}"/>
    <hyperlink ref="D710" r:id="rId157" xr:uid="{00000000-0004-0000-0400-00009C000000}"/>
    <hyperlink ref="C712" r:id="rId158" xr:uid="{00000000-0004-0000-0400-00009D000000}"/>
    <hyperlink ref="C713" r:id="rId159" xr:uid="{00000000-0004-0000-0400-00009E000000}"/>
    <hyperlink ref="C714" r:id="rId160" xr:uid="{00000000-0004-0000-0400-00009F000000}"/>
    <hyperlink ref="C715" r:id="rId161" xr:uid="{00000000-0004-0000-0400-0000A0000000}"/>
    <hyperlink ref="C716" r:id="rId162" xr:uid="{00000000-0004-0000-0400-0000A1000000}"/>
    <hyperlink ref="C717" r:id="rId163" xr:uid="{00000000-0004-0000-0400-0000A2000000}"/>
    <hyperlink ref="C718" r:id="rId164" xr:uid="{00000000-0004-0000-0400-0000A3000000}"/>
    <hyperlink ref="C719" r:id="rId165" xr:uid="{00000000-0004-0000-0400-0000A4000000}"/>
    <hyperlink ref="C720" r:id="rId166" xr:uid="{00000000-0004-0000-0400-0000A5000000}"/>
    <hyperlink ref="C721" r:id="rId167" xr:uid="{00000000-0004-0000-0400-0000A6000000}"/>
    <hyperlink ref="D736" r:id="rId168" xr:uid="{00000000-0004-0000-0400-0000A7000000}"/>
    <hyperlink ref="A749" r:id="rId169" xr:uid="{00000000-0004-0000-0400-0000A8000000}"/>
    <hyperlink ref="D749" r:id="rId170" xr:uid="{00000000-0004-0000-0400-0000A9000000}"/>
    <hyperlink ref="C751" r:id="rId171" xr:uid="{00000000-0004-0000-0400-0000AA000000}"/>
    <hyperlink ref="C752" r:id="rId172" xr:uid="{00000000-0004-0000-0400-0000AB000000}"/>
    <hyperlink ref="C753" r:id="rId173" xr:uid="{00000000-0004-0000-0400-0000AC000000}"/>
    <hyperlink ref="C754" r:id="rId174" xr:uid="{00000000-0004-0000-0400-0000AD000000}"/>
    <hyperlink ref="C756" r:id="rId175" xr:uid="{00000000-0004-0000-0400-0000AE000000}"/>
    <hyperlink ref="C757" r:id="rId176" xr:uid="{00000000-0004-0000-0400-0000AF000000}"/>
    <hyperlink ref="C758" r:id="rId177" xr:uid="{00000000-0004-0000-0400-0000B0000000}"/>
    <hyperlink ref="C759" r:id="rId178" xr:uid="{00000000-0004-0000-0400-0000B1000000}"/>
    <hyperlink ref="A762" r:id="rId179" xr:uid="{00000000-0004-0000-0400-0000B2000000}"/>
    <hyperlink ref="A788" r:id="rId180" xr:uid="{00000000-0004-0000-0400-0000B3000000}"/>
    <hyperlink ref="D828" r:id="rId181" xr:uid="{00000000-0004-0000-0400-0000B4000000}"/>
    <hyperlink ref="D841" r:id="rId182" xr:uid="{00000000-0004-0000-0400-0000B5000000}"/>
    <hyperlink ref="A854" r:id="rId183" xr:uid="{00000000-0004-0000-0400-0000B6000000}"/>
    <hyperlink ref="A867" r:id="rId184" xr:uid="{00000000-0004-0000-0400-0000B7000000}"/>
    <hyperlink ref="D867" r:id="rId185" xr:uid="{00000000-0004-0000-0400-0000B8000000}"/>
    <hyperlink ref="C873" r:id="rId186" xr:uid="{00000000-0004-0000-0400-0000B9000000}"/>
    <hyperlink ref="C876" r:id="rId187" xr:uid="{00000000-0004-0000-0400-0000BA000000}"/>
    <hyperlink ref="C877" r:id="rId188" xr:uid="{00000000-0004-0000-0400-0000BB000000}"/>
    <hyperlink ref="A880" r:id="rId189" xr:uid="{00000000-0004-0000-0400-0000BC000000}"/>
    <hyperlink ref="D880" r:id="rId190" xr:uid="{00000000-0004-0000-0400-0000BD000000}"/>
    <hyperlink ref="C882" r:id="rId191" xr:uid="{00000000-0004-0000-0400-0000BE000000}"/>
    <hyperlink ref="C883" r:id="rId192" xr:uid="{00000000-0004-0000-0400-0000BF000000}"/>
    <hyperlink ref="C884" r:id="rId193" xr:uid="{00000000-0004-0000-0400-0000C0000000}"/>
    <hyperlink ref="C885" r:id="rId194" xr:uid="{00000000-0004-0000-0400-0000C1000000}"/>
    <hyperlink ref="C886" r:id="rId195" xr:uid="{00000000-0004-0000-0400-0000C2000000}"/>
    <hyperlink ref="C887" r:id="rId196" xr:uid="{00000000-0004-0000-0400-0000C3000000}"/>
    <hyperlink ref="C888" r:id="rId197" xr:uid="{00000000-0004-0000-0400-0000C4000000}"/>
    <hyperlink ref="C889" r:id="rId198" xr:uid="{00000000-0004-0000-0400-0000C5000000}"/>
    <hyperlink ref="C890" r:id="rId199" xr:uid="{00000000-0004-0000-0400-0000C6000000}"/>
    <hyperlink ref="C891" r:id="rId200" xr:uid="{00000000-0004-0000-0400-0000C7000000}"/>
    <hyperlink ref="A919" r:id="rId201" xr:uid="{00000000-0004-0000-0400-0000C8000000}"/>
    <hyperlink ref="D919" r:id="rId202" xr:uid="{00000000-0004-0000-0400-0000C9000000}"/>
    <hyperlink ref="C921" r:id="rId203" xr:uid="{00000000-0004-0000-0400-0000CA000000}"/>
    <hyperlink ref="C923" r:id="rId204" xr:uid="{00000000-0004-0000-0400-0000CB000000}"/>
    <hyperlink ref="C924" r:id="rId205" xr:uid="{00000000-0004-0000-0400-0000CC000000}"/>
    <hyperlink ref="C925" r:id="rId206" xr:uid="{00000000-0004-0000-0400-0000CD000000}"/>
    <hyperlink ref="C926" r:id="rId207" xr:uid="{00000000-0004-0000-0400-0000CE000000}"/>
    <hyperlink ref="C927" r:id="rId208" xr:uid="{00000000-0004-0000-0400-0000CF000000}"/>
    <hyperlink ref="C928" r:id="rId209" xr:uid="{00000000-0004-0000-0400-0000D0000000}"/>
    <hyperlink ref="C929" r:id="rId210" xr:uid="{00000000-0004-0000-0400-0000D1000000}"/>
    <hyperlink ref="C930" r:id="rId211" xr:uid="{00000000-0004-0000-0400-0000D2000000}"/>
    <hyperlink ref="A945" r:id="rId212" xr:uid="{00000000-0004-0000-0400-0000D3000000}"/>
    <hyperlink ref="D945" r:id="rId213" xr:uid="{00000000-0004-0000-0400-0000D4000000}"/>
    <hyperlink ref="C947" r:id="rId214" xr:uid="{00000000-0004-0000-0400-0000D5000000}"/>
    <hyperlink ref="C948" r:id="rId215" xr:uid="{00000000-0004-0000-0400-0000D6000000}"/>
    <hyperlink ref="C949" r:id="rId216" xr:uid="{00000000-0004-0000-0400-0000D7000000}"/>
    <hyperlink ref="C950" r:id="rId217" xr:uid="{00000000-0004-0000-0400-0000D8000000}"/>
    <hyperlink ref="C951" r:id="rId218" xr:uid="{00000000-0004-0000-0400-0000D9000000}"/>
    <hyperlink ref="C952" r:id="rId219" xr:uid="{00000000-0004-0000-0400-0000DA000000}"/>
    <hyperlink ref="C953" r:id="rId220" xr:uid="{00000000-0004-0000-0400-0000DB000000}"/>
    <hyperlink ref="C954" r:id="rId221" xr:uid="{00000000-0004-0000-0400-0000DC000000}"/>
    <hyperlink ref="C955" r:id="rId222" xr:uid="{00000000-0004-0000-0400-0000DD000000}"/>
    <hyperlink ref="C956" r:id="rId223" xr:uid="{00000000-0004-0000-0400-0000DE000000}"/>
    <hyperlink ref="A40" r:id="rId224" display="Paul McCartney" xr:uid="{C85382DE-540B-4CF3-8744-03EA49C178E2}"/>
    <hyperlink ref="D525" r:id="rId225" xr:uid="{BB312D82-A0DE-4D49-AA96-AC4082753038}"/>
    <hyperlink ref="C686" r:id="rId226" display="https://en.wikipedia.org/wiki/The_Magnolia_Electric_Co." xr:uid="{1DD5BE50-DC61-41B9-AF16-BC19AB1A6106}"/>
    <hyperlink ref="C687" r:id="rId227" display="https://en.wikipedia.org/wiki/The_Magnolia_Electric_Co." xr:uid="{F001169B-86E4-4AEE-9FFD-8026CBB86A64}"/>
    <hyperlink ref="C688" r:id="rId228" display="https://en.wikipedia.org/wiki/The_Magnolia_Electric_Co." xr:uid="{C2A56612-F89E-472F-BBC7-C9E62FA48C00}"/>
    <hyperlink ref="C689" r:id="rId229" display="https://en.wikipedia.org/wiki/Axxess_%26_Ace" xr:uid="{5CFF72D8-B28A-4E4D-9597-8D10108F7AFE}"/>
    <hyperlink ref="C690" r:id="rId230" display="https://en.wikipedia.org/wiki/The_Lioness_(album)" xr:uid="{9CF700FC-F0B5-49AA-912F-B82DA67A615B}"/>
    <hyperlink ref="C691" r:id="rId231" display="https://en.wikipedia.org/wiki/The_Magnolia_Electric_Co." xr:uid="{931C7692-4930-4D6E-B6D9-7B55076872F4}"/>
    <hyperlink ref="C692" r:id="rId232" display="https://en.wikipedia.org/wiki/The_Lioness_(album)" xr:uid="{BD07F795-FE77-4075-9854-0A2D70C06C08}"/>
    <hyperlink ref="C693" r:id="rId233" display="https://en.wikipedia.org/wiki/The_Magnolia_Electric_Co." xr:uid="{BD8AF121-C938-4F90-95F8-E730CE69332F}"/>
    <hyperlink ref="C694" r:id="rId234" display="https://en.wikipedia.org/wiki/The_Lioness_(album)" xr:uid="{9E3CE682-DB1D-43D6-BBEF-27C895852E65}"/>
    <hyperlink ref="C695" r:id="rId235" display="https://en.wikipedia.org/wiki/The_Lioness_(album)" xr:uid="{525419D5-1390-48BB-8FB5-F3EEACAD592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651"/>
  <sheetViews>
    <sheetView workbookViewId="0">
      <selection activeCell="D4" sqref="A1:D4"/>
    </sheetView>
  </sheetViews>
  <sheetFormatPr defaultColWidth="12.5703125" defaultRowHeight="15.75" customHeight="1"/>
  <cols>
    <col min="1" max="1" width="65.140625" customWidth="1"/>
    <col min="3" max="3" width="37.140625" customWidth="1"/>
  </cols>
  <sheetData>
    <row r="1" spans="1:4" ht="12.75">
      <c r="A1" s="155"/>
      <c r="B1" s="156"/>
      <c r="C1" s="156"/>
      <c r="D1" s="156"/>
    </row>
    <row r="2" spans="1:4" ht="15.75" customHeight="1">
      <c r="A2" s="112" t="str">
        <f>HYPERLINK("https://www.reddit.com/r/indieheads/comments/68twci/top_ten_tuesday_the_tallest_man_on_earth/","The Tallest Man on Earth")</f>
        <v>The Tallest Man on Earth</v>
      </c>
      <c r="B2" s="113">
        <v>42857</v>
      </c>
      <c r="C2" s="27"/>
      <c r="D2" s="27"/>
    </row>
    <row r="3" spans="1:4" ht="12.75">
      <c r="A3" s="114" t="s">
        <v>2</v>
      </c>
      <c r="B3" s="114" t="s">
        <v>3</v>
      </c>
      <c r="C3" s="114" t="s">
        <v>4</v>
      </c>
      <c r="D3" s="114" t="s">
        <v>5</v>
      </c>
    </row>
    <row r="4" spans="1:4" ht="12.75">
      <c r="A4" s="7" t="s">
        <v>3429</v>
      </c>
      <c r="B4" s="8">
        <v>168</v>
      </c>
      <c r="C4" s="9" t="str">
        <f>HYPERLINK("https://en.wikipedia.org/wiki/Shallow_Grave_(album)","Shallow Grave")</f>
        <v>Shallow Grave</v>
      </c>
      <c r="D4" s="7">
        <v>2008</v>
      </c>
    </row>
    <row r="5" spans="1:4" ht="12.75">
      <c r="A5" s="27" t="s">
        <v>3430</v>
      </c>
      <c r="B5" s="28">
        <v>126</v>
      </c>
      <c r="C5" s="29" t="str">
        <f t="shared" ref="C5:C8" si="0">HYPERLINK("https://en.wikipedia.org/wiki/The_Wild_Hunt_(The_Tallest_Man_on_Earth_album)","The Wild Hunt")</f>
        <v>The Wild Hunt</v>
      </c>
      <c r="D5" s="27">
        <v>2010</v>
      </c>
    </row>
    <row r="6" spans="1:4" ht="12.75">
      <c r="A6" s="7" t="s">
        <v>3431</v>
      </c>
      <c r="B6" s="8">
        <v>120</v>
      </c>
      <c r="C6" s="9" t="str">
        <f t="shared" si="0"/>
        <v>The Wild Hunt</v>
      </c>
      <c r="D6" s="7">
        <v>2010</v>
      </c>
    </row>
    <row r="7" spans="1:4" ht="12.75">
      <c r="A7" s="27" t="s">
        <v>3432</v>
      </c>
      <c r="B7" s="28">
        <v>120</v>
      </c>
      <c r="C7" s="29" t="str">
        <f t="shared" si="0"/>
        <v>The Wild Hunt</v>
      </c>
      <c r="D7" s="27">
        <v>2010</v>
      </c>
    </row>
    <row r="8" spans="1:4" ht="12.75">
      <c r="A8" s="7" t="s">
        <v>3433</v>
      </c>
      <c r="B8" s="8">
        <v>99</v>
      </c>
      <c r="C8" s="9" t="str">
        <f t="shared" si="0"/>
        <v>The Wild Hunt</v>
      </c>
      <c r="D8" s="7">
        <v>2010</v>
      </c>
    </row>
    <row r="9" spans="1:4" ht="12.75">
      <c r="A9" s="27" t="s">
        <v>3434</v>
      </c>
      <c r="B9" s="28">
        <v>93</v>
      </c>
      <c r="C9" s="29" t="str">
        <f>HYPERLINK("https://en.wikipedia.org/wiki/Sometimes_the_Blues_Is_Just_a_Passing_Bird","Sometimes the Blues Is Just a Passing Bird")</f>
        <v>Sometimes the Blues Is Just a Passing Bird</v>
      </c>
      <c r="D9" s="27">
        <v>2010</v>
      </c>
    </row>
    <row r="10" spans="1:4" ht="12.75">
      <c r="A10" s="40">
        <v>1904</v>
      </c>
      <c r="B10" s="8">
        <v>76</v>
      </c>
      <c r="C10" s="9" t="str">
        <f>HYPERLINK("https://en.wikipedia.org/wiki/There%27s_No_Leaving_Now","There's No Leaving Now")</f>
        <v>There's No Leaving Now</v>
      </c>
      <c r="D10" s="7">
        <v>2012</v>
      </c>
    </row>
    <row r="11" spans="1:4" ht="12.75">
      <c r="A11" s="27" t="s">
        <v>3435</v>
      </c>
      <c r="B11" s="28">
        <v>60</v>
      </c>
      <c r="C11" s="29" t="str">
        <f t="shared" ref="C11:C12" si="1">HYPERLINK("https://en.wikipedia.org/wiki/Shallow_Grave_(album)","Shallow Grave")</f>
        <v>Shallow Grave</v>
      </c>
      <c r="D11" s="27">
        <v>2008</v>
      </c>
    </row>
    <row r="12" spans="1:4" ht="12.75">
      <c r="A12" s="7" t="s">
        <v>3436</v>
      </c>
      <c r="B12" s="8">
        <v>58</v>
      </c>
      <c r="C12" s="9" t="str">
        <f t="shared" si="1"/>
        <v>Shallow Grave</v>
      </c>
      <c r="D12" s="7">
        <v>2008</v>
      </c>
    </row>
    <row r="13" spans="1:4" ht="12.75">
      <c r="A13" s="27" t="s">
        <v>3437</v>
      </c>
      <c r="B13" s="28">
        <v>56</v>
      </c>
      <c r="C13" s="29" t="str">
        <f>HYPERLINK("https://en.wikipedia.org/wiki/There%27s_No_Leaving_Now","There's No Leaving Now")</f>
        <v>There's No Leaving Now</v>
      </c>
      <c r="D13" s="27">
        <v>2012</v>
      </c>
    </row>
    <row r="14" spans="1:4" ht="12.75">
      <c r="A14" s="155"/>
      <c r="B14" s="156"/>
      <c r="C14" s="156"/>
      <c r="D14" s="161"/>
    </row>
    <row r="15" spans="1:4" ht="15.75" customHeight="1">
      <c r="A15" s="112" t="str">
        <f>HYPERLINK("https://www.reddit.com/r/indieheads/comments/8sihnb/top_ten_tuesday_talk_talk/","Talk Talk")</f>
        <v>Talk Talk</v>
      </c>
      <c r="B15" s="113">
        <v>43271</v>
      </c>
      <c r="C15" s="27"/>
      <c r="D15" s="27"/>
    </row>
    <row r="16" spans="1:4" ht="12.75">
      <c r="A16" s="114" t="s">
        <v>2</v>
      </c>
      <c r="B16" s="114" t="s">
        <v>3</v>
      </c>
      <c r="C16" s="114" t="s">
        <v>4</v>
      </c>
      <c r="D16" s="114" t="s">
        <v>5</v>
      </c>
    </row>
    <row r="17" spans="1:4" ht="12.75">
      <c r="A17" s="7" t="s">
        <v>3438</v>
      </c>
      <c r="B17" s="8">
        <v>187</v>
      </c>
      <c r="C17" s="9" t="str">
        <f t="shared" ref="C17:C18" si="2">HYPERLINK("https://en.wikipedia.org/wiki/Laughing_Stock_(album)","Laughing Stock")</f>
        <v>Laughing Stock</v>
      </c>
      <c r="D17" s="7">
        <v>1991</v>
      </c>
    </row>
    <row r="18" spans="1:4" ht="12.75">
      <c r="A18" s="27" t="s">
        <v>3439</v>
      </c>
      <c r="B18" s="28">
        <v>180</v>
      </c>
      <c r="C18" s="29" t="str">
        <f t="shared" si="2"/>
        <v>Laughing Stock</v>
      </c>
      <c r="D18" s="27">
        <v>1991</v>
      </c>
    </row>
    <row r="19" spans="1:4" ht="12.75">
      <c r="A19" s="7" t="s">
        <v>3440</v>
      </c>
      <c r="B19" s="8">
        <v>134</v>
      </c>
      <c r="C19" s="9" t="str">
        <f t="shared" ref="C19:C21" si="3">HYPERLINK("https://en.wikipedia.org/wiki/Spirit_of_Eden","Spirit of Eden")</f>
        <v>Spirit of Eden</v>
      </c>
      <c r="D19" s="7">
        <v>1988</v>
      </c>
    </row>
    <row r="20" spans="1:4" ht="12.75">
      <c r="A20" s="27" t="s">
        <v>3441</v>
      </c>
      <c r="B20" s="28">
        <v>124</v>
      </c>
      <c r="C20" s="29" t="str">
        <f t="shared" si="3"/>
        <v>Spirit of Eden</v>
      </c>
      <c r="D20" s="27">
        <v>1988</v>
      </c>
    </row>
    <row r="21" spans="1:4" ht="12.75">
      <c r="A21" s="7" t="s">
        <v>3442</v>
      </c>
      <c r="B21" s="8">
        <v>123</v>
      </c>
      <c r="C21" s="9" t="str">
        <f t="shared" si="3"/>
        <v>Spirit of Eden</v>
      </c>
      <c r="D21" s="7">
        <v>1988</v>
      </c>
    </row>
    <row r="22" spans="1:4" ht="12.75">
      <c r="A22" s="27" t="s">
        <v>3443</v>
      </c>
      <c r="B22" s="28">
        <v>112</v>
      </c>
      <c r="C22" s="29" t="str">
        <f>HYPERLINK("https://en.wikipedia.org/wiki/Laughing_Stock_(album)","Laughing Stock")</f>
        <v>Laughing Stock</v>
      </c>
      <c r="D22" s="27">
        <v>1991</v>
      </c>
    </row>
    <row r="23" spans="1:4" ht="12.75">
      <c r="A23" s="7" t="s">
        <v>2720</v>
      </c>
      <c r="B23" s="8">
        <v>79</v>
      </c>
      <c r="C23" s="9" t="str">
        <f>HYPERLINK("https://en.wikipedia.org/wiki/Spirit_of_Eden","Spirit of Eden")</f>
        <v>Spirit of Eden</v>
      </c>
      <c r="D23" s="7">
        <v>1988</v>
      </c>
    </row>
    <row r="24" spans="1:4" ht="12.75">
      <c r="A24" s="27" t="s">
        <v>3444</v>
      </c>
      <c r="B24" s="28">
        <v>61</v>
      </c>
      <c r="C24" s="29" t="str">
        <f>HYPERLINK("https://en.wikipedia.org/wiki/Laughing_Stock_(album)","Laughing Stock")</f>
        <v>Laughing Stock</v>
      </c>
      <c r="D24" s="27">
        <v>1991</v>
      </c>
    </row>
    <row r="25" spans="1:4" ht="12.75">
      <c r="A25" s="7" t="s">
        <v>3445</v>
      </c>
      <c r="B25" s="8">
        <v>57</v>
      </c>
      <c r="C25" s="9" t="str">
        <f>HYPERLINK("https://en.wikipedia.org/wiki/The_Colour_of_Spring","The Colour of Spring")</f>
        <v>The Colour of Spring</v>
      </c>
      <c r="D25" s="7">
        <v>1986</v>
      </c>
    </row>
    <row r="26" spans="1:4" ht="12.75">
      <c r="A26" s="27" t="s">
        <v>3446</v>
      </c>
      <c r="B26" s="28">
        <v>49</v>
      </c>
      <c r="C26" s="29" t="str">
        <f>HYPERLINK("https://en.wikipedia.org/wiki/Laughing_Stock_(album)","Laughing Stock")</f>
        <v>Laughing Stock</v>
      </c>
      <c r="D26" s="27">
        <v>1991</v>
      </c>
    </row>
    <row r="27" spans="1:4" ht="12.75">
      <c r="A27" s="155"/>
      <c r="B27" s="156"/>
      <c r="C27" s="156"/>
      <c r="D27" s="161"/>
    </row>
    <row r="28" spans="1:4" ht="18">
      <c r="A28" s="112" t="s">
        <v>3447</v>
      </c>
      <c r="B28" s="115">
        <v>44656</v>
      </c>
      <c r="C28" s="27"/>
      <c r="D28" s="116" t="s">
        <v>1</v>
      </c>
    </row>
    <row r="29" spans="1:4" ht="12.75">
      <c r="A29" s="114" t="s">
        <v>2</v>
      </c>
      <c r="B29" s="114" t="s">
        <v>3</v>
      </c>
      <c r="C29" s="114" t="s">
        <v>4</v>
      </c>
      <c r="D29" s="114" t="s">
        <v>5</v>
      </c>
    </row>
    <row r="30" spans="1:4" ht="12.75">
      <c r="A30" s="7" t="s">
        <v>3448</v>
      </c>
      <c r="B30" s="8">
        <v>698</v>
      </c>
      <c r="C30" s="9" t="str">
        <f>HYPERLINK("https://en.wikipedia.org/wiki/Speaking_in_Tongues_(Talking_Heads_album)","Speaking in Tongues")</f>
        <v>Speaking in Tongues</v>
      </c>
      <c r="D30" s="7">
        <v>1983</v>
      </c>
    </row>
    <row r="31" spans="1:4" ht="12.75">
      <c r="A31" s="27" t="s">
        <v>3449</v>
      </c>
      <c r="B31" s="28">
        <v>624</v>
      </c>
      <c r="C31" s="29" t="str">
        <f t="shared" ref="C31:C32" si="4">HYPERLINK("https://en.wikipedia.org/wiki/Remain_in_Light","Remain in Light")</f>
        <v>Remain in Light</v>
      </c>
      <c r="D31" s="27">
        <v>1980</v>
      </c>
    </row>
    <row r="32" spans="1:4" ht="12.75">
      <c r="A32" s="7" t="s">
        <v>3450</v>
      </c>
      <c r="B32" s="8">
        <v>554</v>
      </c>
      <c r="C32" s="9" t="str">
        <f t="shared" si="4"/>
        <v>Remain in Light</v>
      </c>
      <c r="D32" s="7">
        <v>1980</v>
      </c>
    </row>
    <row r="33" spans="1:4" ht="12.75">
      <c r="A33" s="10" t="s">
        <v>3451</v>
      </c>
      <c r="B33" s="11">
        <v>452</v>
      </c>
      <c r="C33" s="12" t="str">
        <f>HYPERLINK("https://en.wikipedia.org/wiki/Fear_of_Music","Fear of Music")</f>
        <v>Fear of Music</v>
      </c>
      <c r="D33" s="10">
        <v>1979</v>
      </c>
    </row>
    <row r="34" spans="1:4" ht="12.75">
      <c r="A34" s="7" t="s">
        <v>3452</v>
      </c>
      <c r="B34" s="8">
        <v>378</v>
      </c>
      <c r="C34" s="9" t="str">
        <f t="shared" ref="C34:C35" si="5">HYPERLINK("https://en.wikipedia.org/wiki/Remain_in_Light","Remain in Light")</f>
        <v>Remain in Light</v>
      </c>
      <c r="D34" s="7">
        <v>1980</v>
      </c>
    </row>
    <row r="35" spans="1:4" ht="12.75">
      <c r="A35" s="27" t="s">
        <v>3453</v>
      </c>
      <c r="B35" s="28">
        <v>360</v>
      </c>
      <c r="C35" s="29" t="str">
        <f t="shared" si="5"/>
        <v>Remain in Light</v>
      </c>
      <c r="D35" s="27">
        <v>1980</v>
      </c>
    </row>
    <row r="36" spans="1:4" ht="12.75">
      <c r="A36" s="7" t="s">
        <v>3454</v>
      </c>
      <c r="B36" s="8">
        <v>312</v>
      </c>
      <c r="C36" s="9" t="str">
        <f>HYPERLINK("https://en.wikipedia.org/wiki/Talking_Heads:_77","Talking Heads: 77")</f>
        <v>Talking Heads: 77</v>
      </c>
      <c r="D36" s="7">
        <v>1977</v>
      </c>
    </row>
    <row r="37" spans="1:4" ht="12.75">
      <c r="A37" s="27" t="s">
        <v>3455</v>
      </c>
      <c r="B37" s="28">
        <v>259</v>
      </c>
      <c r="C37" s="12" t="str">
        <f>HYPERLINK("https://en.wikipedia.org/wiki/Speaking_in_Tongues_(Talking_Heads_album)","Speaking in Tongues")</f>
        <v>Speaking in Tongues</v>
      </c>
      <c r="D37" s="10">
        <v>1983</v>
      </c>
    </row>
    <row r="38" spans="1:4" ht="12.75">
      <c r="A38" s="7" t="s">
        <v>3456</v>
      </c>
      <c r="B38" s="8">
        <v>204</v>
      </c>
      <c r="C38" s="9" t="str">
        <f>HYPERLINK("https://en.wikipedia.org/wiki/Fear_of_Music","Fear of Music")</f>
        <v>Fear of Music</v>
      </c>
      <c r="D38" s="7">
        <v>1979</v>
      </c>
    </row>
    <row r="39" spans="1:4" ht="12.75">
      <c r="A39" s="27" t="s">
        <v>3457</v>
      </c>
      <c r="B39" s="28">
        <v>189</v>
      </c>
      <c r="C39" s="29" t="s">
        <v>3458</v>
      </c>
      <c r="D39" s="27">
        <v>1985</v>
      </c>
    </row>
    <row r="40" spans="1:4" ht="12.75">
      <c r="A40" s="155"/>
      <c r="B40" s="156"/>
      <c r="C40" s="156"/>
      <c r="D40" s="161"/>
    </row>
    <row r="41" spans="1:4" ht="18">
      <c r="A41" s="112" t="str">
        <f>HYPERLINK("https://www.reddit.com/r/indieheads/comments/42ttyk/top_ten_tuesday_tame_impala/","Tame Impala")</f>
        <v>Tame Impala</v>
      </c>
      <c r="B41" s="115">
        <v>42395</v>
      </c>
      <c r="C41" s="27"/>
      <c r="D41" s="27"/>
    </row>
    <row r="42" spans="1:4" ht="12.75">
      <c r="A42" s="114" t="s">
        <v>2</v>
      </c>
      <c r="B42" s="114" t="s">
        <v>3</v>
      </c>
      <c r="C42" s="114" t="s">
        <v>4</v>
      </c>
      <c r="D42" s="114" t="s">
        <v>5</v>
      </c>
    </row>
    <row r="43" spans="1:4" ht="12.75">
      <c r="A43" s="9" t="str">
        <f>HYPERLINK("https://www.youtube.com/watch?v=E9HbndMVdyw","Let It Happen")</f>
        <v>Let It Happen</v>
      </c>
      <c r="B43" s="8">
        <v>975</v>
      </c>
      <c r="C43" s="9" t="str">
        <f>HYPERLINK("https://en.wikipedia.org/wiki/Currents_(Tame_Impala_album)","Currents")</f>
        <v>Currents</v>
      </c>
      <c r="D43" s="7">
        <v>2015</v>
      </c>
    </row>
    <row r="44" spans="1:4" ht="12.75">
      <c r="A44" s="29" t="str">
        <f>HYPERLINK("https://www.youtube.com/watch?v=qR1GXBJv16I","Apocalypse Dreams")</f>
        <v>Apocalypse Dreams</v>
      </c>
      <c r="B44" s="28">
        <v>920</v>
      </c>
      <c r="C44" s="29" t="str">
        <f t="shared" ref="C44:C46" si="6">HYPERLINK("https://en.wikipedia.org/wiki/Lonerism","Lonerism")</f>
        <v>Lonerism</v>
      </c>
      <c r="D44" s="27">
        <v>2012</v>
      </c>
    </row>
    <row r="45" spans="1:4" ht="12.75">
      <c r="A45" s="9" t="str">
        <f>HYPERLINK("https://www.youtube.com/watch?v=x1AD1_sMTiQ","Feels Like We Only Go Backwards")</f>
        <v>Feels Like We Only Go Backwards</v>
      </c>
      <c r="B45" s="8">
        <v>622</v>
      </c>
      <c r="C45" s="9" t="str">
        <f t="shared" si="6"/>
        <v>Lonerism</v>
      </c>
      <c r="D45" s="7">
        <v>2012</v>
      </c>
    </row>
    <row r="46" spans="1:4" ht="12.75">
      <c r="A46" s="29" t="str">
        <f>HYPERLINK("https://www.youtube.com/watch?v=4uFuebeZcWo","Mind Mischief")</f>
        <v>Mind Mischief</v>
      </c>
      <c r="B46" s="28">
        <v>590</v>
      </c>
      <c r="C46" s="29" t="str">
        <f t="shared" si="6"/>
        <v>Lonerism</v>
      </c>
      <c r="D46" s="27">
        <v>2012</v>
      </c>
    </row>
    <row r="47" spans="1:4" ht="12.75">
      <c r="A47" s="9" t="str">
        <f>HYPERLINK("https://www.youtube.com/watch?v=FAcaAeIwl1Q","The Less I Know the Better")</f>
        <v>The Less I Know the Better</v>
      </c>
      <c r="B47" s="8">
        <v>447</v>
      </c>
      <c r="C47" s="9" t="str">
        <f>HYPERLINK("https://en.wikipedia.org/wiki/Currents_(Tame_Impala_album)","Currents")</f>
        <v>Currents</v>
      </c>
      <c r="D47" s="7">
        <v>2015</v>
      </c>
    </row>
    <row r="48" spans="1:4" ht="12.75">
      <c r="A48" s="140" t="str">
        <f>HYPERLINK("https://www.youtube.com/watch?v=QAJA5USr5RU","Nothing That Has Happened So Far Has Been Anything We Could Control")</f>
        <v>Nothing That Has Happened So Far Has Been Anything We Could Control</v>
      </c>
      <c r="B48" s="28">
        <v>383</v>
      </c>
      <c r="C48" s="29" t="str">
        <f t="shared" ref="C48:C50" si="7">HYPERLINK("https://en.wikipedia.org/wiki/Lonerism","Lonerism")</f>
        <v>Lonerism</v>
      </c>
      <c r="D48" s="27">
        <v>2012</v>
      </c>
    </row>
    <row r="49" spans="1:4" ht="12.75">
      <c r="A49" s="9" t="str">
        <f>HYPERLINK("https://www.youtube.com/watch?v=hOItvR8p9wU","Elephant")</f>
        <v>Elephant</v>
      </c>
      <c r="B49" s="8">
        <v>376</v>
      </c>
      <c r="C49" s="9" t="str">
        <f t="shared" si="7"/>
        <v>Lonerism</v>
      </c>
      <c r="D49" s="7">
        <v>2012</v>
      </c>
    </row>
    <row r="50" spans="1:4" ht="12.75">
      <c r="A50" s="29" t="str">
        <f>HYPERLINK("https://www.youtube.com/watch?v=Q3UJyn6GWOc","Endors Toi")</f>
        <v>Endors Toi</v>
      </c>
      <c r="B50" s="28">
        <v>360</v>
      </c>
      <c r="C50" s="29" t="str">
        <f t="shared" si="7"/>
        <v>Lonerism</v>
      </c>
      <c r="D50" s="27">
        <v>2012</v>
      </c>
    </row>
    <row r="51" spans="1:4" ht="12.75">
      <c r="A51" s="9" t="str">
        <f>HYPERLINK("https://www.youtube.com/watch?v=QBOLyn_jj4M","Eventually")</f>
        <v>Eventually</v>
      </c>
      <c r="B51" s="8">
        <v>351</v>
      </c>
      <c r="C51" s="9" t="str">
        <f>HYPERLINK("https://en.wikipedia.org/wiki/Currents_(Tame_Impala_album)","Currents")</f>
        <v>Currents</v>
      </c>
      <c r="D51" s="7">
        <v>2015</v>
      </c>
    </row>
    <row r="52" spans="1:4" ht="12.75">
      <c r="A52" s="29" t="str">
        <f>HYPERLINK("https://www.youtube.com/watch?v=HQ7hdF7Xyns","Why Won't They Talk to Me?")</f>
        <v>Why Won't They Talk to Me?</v>
      </c>
      <c r="B52" s="28">
        <v>347</v>
      </c>
      <c r="C52" s="29" t="str">
        <f>HYPERLINK("https://en.wikipedia.org/wiki/Lonerism","Lonerism")</f>
        <v>Lonerism</v>
      </c>
      <c r="D52" s="27">
        <v>2012</v>
      </c>
    </row>
    <row r="53" spans="1:4" ht="12.75">
      <c r="A53" s="155"/>
      <c r="B53" s="156"/>
      <c r="C53" s="156"/>
      <c r="D53" s="161"/>
    </row>
    <row r="54" spans="1:4" ht="18">
      <c r="A54" s="112" t="s">
        <v>3459</v>
      </c>
      <c r="B54" s="113">
        <v>44271</v>
      </c>
      <c r="C54" s="27"/>
      <c r="D54" s="116" t="s">
        <v>1</v>
      </c>
    </row>
    <row r="55" spans="1:4" ht="12.75">
      <c r="A55" s="114" t="s">
        <v>2</v>
      </c>
      <c r="B55" s="114" t="s">
        <v>3</v>
      </c>
      <c r="C55" s="114" t="s">
        <v>4</v>
      </c>
      <c r="D55" s="114" t="s">
        <v>5</v>
      </c>
    </row>
    <row r="56" spans="1:4" ht="12.75">
      <c r="A56" s="7" t="s">
        <v>3460</v>
      </c>
      <c r="B56" s="8">
        <v>184</v>
      </c>
      <c r="C56" s="9" t="s">
        <v>3461</v>
      </c>
      <c r="D56" s="7">
        <v>1985</v>
      </c>
    </row>
    <row r="57" spans="1:4" ht="12.75">
      <c r="A57" s="27" t="s">
        <v>3462</v>
      </c>
      <c r="B57" s="28">
        <v>175</v>
      </c>
      <c r="C57" s="29" t="s">
        <v>3461</v>
      </c>
      <c r="D57" s="27">
        <v>1985</v>
      </c>
    </row>
    <row r="58" spans="1:4" ht="12.75">
      <c r="A58" s="7" t="s">
        <v>3463</v>
      </c>
      <c r="B58" s="8">
        <v>123</v>
      </c>
      <c r="C58" s="9" t="s">
        <v>3461</v>
      </c>
      <c r="D58" s="7">
        <v>1984</v>
      </c>
    </row>
    <row r="59" spans="1:4" ht="12.75">
      <c r="A59" s="27" t="s">
        <v>3464</v>
      </c>
      <c r="B59" s="28">
        <v>118</v>
      </c>
      <c r="C59" s="29" t="s">
        <v>3465</v>
      </c>
      <c r="D59" s="27">
        <v>1982</v>
      </c>
    </row>
    <row r="60" spans="1:4" ht="12.75">
      <c r="A60" s="7" t="s">
        <v>3466</v>
      </c>
      <c r="B60" s="8">
        <v>93</v>
      </c>
      <c r="C60" s="9" t="s">
        <v>3465</v>
      </c>
      <c r="D60" s="7">
        <v>1983</v>
      </c>
    </row>
    <row r="61" spans="1:4" ht="12.75">
      <c r="A61" s="27" t="s">
        <v>3467</v>
      </c>
      <c r="B61" s="28">
        <v>84</v>
      </c>
      <c r="C61" s="29" t="s">
        <v>3468</v>
      </c>
      <c r="D61" s="27">
        <v>1989</v>
      </c>
    </row>
    <row r="62" spans="1:4" ht="12.75">
      <c r="A62" s="7" t="s">
        <v>3469</v>
      </c>
      <c r="B62" s="8">
        <v>74</v>
      </c>
      <c r="C62" s="9" t="s">
        <v>3468</v>
      </c>
      <c r="D62" s="7">
        <v>1989</v>
      </c>
    </row>
    <row r="63" spans="1:4" ht="12.75">
      <c r="A63" s="27" t="s">
        <v>3470</v>
      </c>
      <c r="B63" s="28">
        <v>45</v>
      </c>
      <c r="C63" s="29" t="s">
        <v>3461</v>
      </c>
      <c r="D63" s="27">
        <v>1985</v>
      </c>
    </row>
    <row r="64" spans="1:4" ht="12.75">
      <c r="A64" s="7" t="s">
        <v>3471</v>
      </c>
      <c r="B64" s="8">
        <v>45</v>
      </c>
      <c r="C64" s="9" t="s">
        <v>3465</v>
      </c>
      <c r="D64" s="7">
        <v>1983</v>
      </c>
    </row>
    <row r="65" spans="1:4" ht="12.75">
      <c r="A65" s="27" t="s">
        <v>3472</v>
      </c>
      <c r="B65" s="28">
        <v>40</v>
      </c>
      <c r="C65" s="29" t="s">
        <v>3461</v>
      </c>
      <c r="D65" s="27">
        <v>1985</v>
      </c>
    </row>
    <row r="66" spans="1:4" ht="12.75">
      <c r="A66" s="155"/>
      <c r="B66" s="156"/>
      <c r="C66" s="156"/>
      <c r="D66" s="161"/>
    </row>
    <row r="67" spans="1:4" ht="18">
      <c r="A67" s="112" t="str">
        <f>HYPERLINK("https://www.reddit.com/r/indieheads/comments/fsb7hm/top_ten_tuesday_television/","Television")</f>
        <v>Television</v>
      </c>
      <c r="B67" s="113">
        <v>43921</v>
      </c>
      <c r="C67" s="27"/>
      <c r="D67" s="116" t="s">
        <v>1</v>
      </c>
    </row>
    <row r="68" spans="1:4" ht="12.75">
      <c r="A68" s="114" t="s">
        <v>2</v>
      </c>
      <c r="B68" s="114" t="s">
        <v>3</v>
      </c>
      <c r="C68" s="114" t="s">
        <v>4</v>
      </c>
      <c r="D68" s="114" t="s">
        <v>5</v>
      </c>
    </row>
    <row r="69" spans="1:4" ht="12.75">
      <c r="A69" s="7" t="s">
        <v>3473</v>
      </c>
      <c r="B69" s="8">
        <v>157</v>
      </c>
      <c r="C69" s="9" t="str">
        <f t="shared" ref="C69:C76" si="8">HYPERLINK("https://en.wikipedia.org/wiki/Marquee_Moon","Marquee Moon")</f>
        <v>Marquee Moon</v>
      </c>
      <c r="D69" s="7">
        <v>1977</v>
      </c>
    </row>
    <row r="70" spans="1:4" ht="12.75">
      <c r="A70" s="27" t="s">
        <v>3474</v>
      </c>
      <c r="B70" s="28">
        <v>125</v>
      </c>
      <c r="C70" s="29" t="str">
        <f t="shared" si="8"/>
        <v>Marquee Moon</v>
      </c>
      <c r="D70" s="27">
        <v>1977</v>
      </c>
    </row>
    <row r="71" spans="1:4" ht="12.75">
      <c r="A71" s="7" t="s">
        <v>3475</v>
      </c>
      <c r="B71" s="8">
        <v>116</v>
      </c>
      <c r="C71" s="9" t="str">
        <f t="shared" si="8"/>
        <v>Marquee Moon</v>
      </c>
      <c r="D71" s="7">
        <v>1977</v>
      </c>
    </row>
    <row r="72" spans="1:4" ht="12.75">
      <c r="A72" s="27" t="s">
        <v>3476</v>
      </c>
      <c r="B72" s="28">
        <v>87</v>
      </c>
      <c r="C72" s="29" t="str">
        <f t="shared" si="8"/>
        <v>Marquee Moon</v>
      </c>
      <c r="D72" s="27">
        <v>1977</v>
      </c>
    </row>
    <row r="73" spans="1:4" ht="12.75">
      <c r="A73" s="7" t="s">
        <v>3477</v>
      </c>
      <c r="B73" s="8">
        <v>78</v>
      </c>
      <c r="C73" s="9" t="str">
        <f t="shared" si="8"/>
        <v>Marquee Moon</v>
      </c>
      <c r="D73" s="7">
        <v>1977</v>
      </c>
    </row>
    <row r="74" spans="1:4" ht="12.75">
      <c r="A74" s="27" t="s">
        <v>3478</v>
      </c>
      <c r="B74" s="28">
        <v>68</v>
      </c>
      <c r="C74" s="29" t="str">
        <f t="shared" si="8"/>
        <v>Marquee Moon</v>
      </c>
      <c r="D74" s="27">
        <v>1977</v>
      </c>
    </row>
    <row r="75" spans="1:4" ht="12.75">
      <c r="A75" s="7" t="s">
        <v>3479</v>
      </c>
      <c r="B75" s="8">
        <v>59</v>
      </c>
      <c r="C75" s="9" t="str">
        <f t="shared" si="8"/>
        <v>Marquee Moon</v>
      </c>
      <c r="D75" s="7">
        <v>1977</v>
      </c>
    </row>
    <row r="76" spans="1:4" ht="12.75">
      <c r="A76" s="27" t="s">
        <v>3480</v>
      </c>
      <c r="B76" s="28">
        <v>46</v>
      </c>
      <c r="C76" s="29" t="str">
        <f t="shared" si="8"/>
        <v>Marquee Moon</v>
      </c>
      <c r="D76" s="27">
        <v>1977</v>
      </c>
    </row>
    <row r="77" spans="1:4" ht="12.75">
      <c r="A77" s="7" t="s">
        <v>3481</v>
      </c>
      <c r="B77" s="8">
        <v>35</v>
      </c>
      <c r="C77" s="9" t="str">
        <f>HYPERLINK("https://en.wikipedia.org/wiki/Adventure_(Television_album)","Adventure")</f>
        <v>Adventure</v>
      </c>
      <c r="D77" s="7">
        <v>1978</v>
      </c>
    </row>
    <row r="78" spans="1:4" ht="12.75">
      <c r="A78" s="27" t="s">
        <v>3482</v>
      </c>
      <c r="B78" s="28">
        <v>32</v>
      </c>
      <c r="C78" s="27"/>
      <c r="D78" s="27">
        <v>1975</v>
      </c>
    </row>
    <row r="79" spans="1:4" ht="12.75">
      <c r="A79" s="155"/>
      <c r="B79" s="156"/>
      <c r="C79" s="156"/>
      <c r="D79" s="161"/>
    </row>
    <row r="80" spans="1:4" ht="18">
      <c r="A80" s="112" t="str">
        <f>HYPERLINK("https://www.reddit.com/r/indieheads/comments/6bh2fe/top_ten_tuesday_they_might_be_giants/","They Might Be Giants")</f>
        <v>They Might Be Giants</v>
      </c>
      <c r="B80" s="113">
        <v>42871</v>
      </c>
      <c r="C80" s="27"/>
      <c r="D80" s="27"/>
    </row>
    <row r="81" spans="1:4" ht="12.75">
      <c r="A81" s="114" t="s">
        <v>2</v>
      </c>
      <c r="B81" s="114" t="s">
        <v>3</v>
      </c>
      <c r="C81" s="114" t="s">
        <v>4</v>
      </c>
      <c r="D81" s="114" t="s">
        <v>5</v>
      </c>
    </row>
    <row r="82" spans="1:4" ht="12.75">
      <c r="A82" s="7" t="s">
        <v>3483</v>
      </c>
      <c r="B82" s="8">
        <v>165</v>
      </c>
      <c r="C82" s="9" t="str">
        <f>HYPERLINK("https://en.wikipedia.org/wiki/Flood_(They_Might_Be_Giants_album)","Flood")</f>
        <v>Flood</v>
      </c>
      <c r="D82" s="7">
        <v>1990</v>
      </c>
    </row>
    <row r="83" spans="1:4" ht="12.75">
      <c r="A83" s="27" t="s">
        <v>3484</v>
      </c>
      <c r="B83" s="28">
        <v>119</v>
      </c>
      <c r="C83" s="29" t="str">
        <f>HYPERLINK("https://en.wikipedia.org/wiki/Lincoln_(album)","Lincoln")</f>
        <v>Lincoln</v>
      </c>
      <c r="D83" s="27">
        <v>1988</v>
      </c>
    </row>
    <row r="84" spans="1:4" ht="12.75">
      <c r="A84" s="7" t="s">
        <v>3485</v>
      </c>
      <c r="B84" s="8">
        <v>105</v>
      </c>
      <c r="C84" s="9" t="str">
        <f>HYPERLINK("https://en.wikipedia.org/wiki/They_Might_Be_Giants_(album)","They Might Be Giants")</f>
        <v>They Might Be Giants</v>
      </c>
      <c r="D84" s="7">
        <v>1986</v>
      </c>
    </row>
    <row r="85" spans="1:4" ht="12.75">
      <c r="A85" s="27" t="s">
        <v>3486</v>
      </c>
      <c r="B85" s="28">
        <v>68</v>
      </c>
      <c r="C85" s="29" t="str">
        <f>HYPERLINK("https://en.wikipedia.org/wiki/John_Henry_(album)","John Henry")</f>
        <v>John Henry</v>
      </c>
      <c r="D85" s="27">
        <v>1994</v>
      </c>
    </row>
    <row r="86" spans="1:4" ht="12.75">
      <c r="A86" s="7" t="s">
        <v>3487</v>
      </c>
      <c r="B86" s="8">
        <v>61</v>
      </c>
      <c r="C86" s="9" t="str">
        <f>HYPERLINK("https://en.wikipedia.org/wiki/Lincoln_(album)","Lincoln")</f>
        <v>Lincoln</v>
      </c>
      <c r="D86" s="7">
        <v>1988</v>
      </c>
    </row>
    <row r="87" spans="1:4" ht="12.75">
      <c r="A87" s="27" t="s">
        <v>3488</v>
      </c>
      <c r="B87" s="28">
        <v>49</v>
      </c>
      <c r="C87" s="29" t="str">
        <f>HYPERLINK("https://en.wikipedia.org/wiki/Severe_Tire_Damage_(album)","Severe Tire Damage")</f>
        <v>Severe Tire Damage</v>
      </c>
      <c r="D87" s="27">
        <v>1998</v>
      </c>
    </row>
    <row r="88" spans="1:4" ht="12.75">
      <c r="A88" s="7" t="s">
        <v>3489</v>
      </c>
      <c r="B88" s="8">
        <v>46</v>
      </c>
      <c r="C88" s="9" t="str">
        <f>HYPERLINK("https://en.wikipedia.org/wiki/Lincoln_(album)","Lincoln")</f>
        <v>Lincoln</v>
      </c>
      <c r="D88" s="7">
        <v>1988</v>
      </c>
    </row>
    <row r="89" spans="1:4" ht="12.75">
      <c r="A89" s="27" t="s">
        <v>3490</v>
      </c>
      <c r="B89" s="28">
        <v>46</v>
      </c>
      <c r="C89" s="29" t="str">
        <f>HYPERLINK("https://en.wikipedia.org/wiki/Flood_(They_Might_Be_Giants_album)","Flood")</f>
        <v>Flood</v>
      </c>
      <c r="D89" s="27">
        <v>1990</v>
      </c>
    </row>
    <row r="90" spans="1:4" ht="12.75">
      <c r="A90" s="7" t="s">
        <v>3491</v>
      </c>
      <c r="B90" s="8">
        <v>38</v>
      </c>
      <c r="C90" s="9" t="str">
        <f>HYPERLINK("https://en.wikipedia.org/wiki/Apollo_18_(album)","Apollo 18")</f>
        <v>Apollo 18</v>
      </c>
      <c r="D90" s="7">
        <v>1992</v>
      </c>
    </row>
    <row r="91" spans="1:4" ht="12.75">
      <c r="A91" s="27" t="s">
        <v>3492</v>
      </c>
      <c r="B91" s="28">
        <v>38</v>
      </c>
      <c r="C91" s="29" t="str">
        <f>HYPERLINK("https://en.wikipedia.org/wiki/Join_Us","Join Us")</f>
        <v>Join Us</v>
      </c>
      <c r="D91" s="27">
        <v>2011</v>
      </c>
    </row>
    <row r="92" spans="1:4" ht="12.75">
      <c r="A92" s="155"/>
      <c r="B92" s="156"/>
      <c r="C92" s="156"/>
      <c r="D92" s="161"/>
    </row>
    <row r="93" spans="1:4" ht="18">
      <c r="A93" s="112" t="s">
        <v>3493</v>
      </c>
      <c r="B93" s="113">
        <v>44054</v>
      </c>
      <c r="C93" s="27"/>
      <c r="D93" s="116" t="s">
        <v>1</v>
      </c>
    </row>
    <row r="94" spans="1:4" ht="12.75">
      <c r="A94" s="114" t="s">
        <v>2</v>
      </c>
      <c r="B94" s="114" t="s">
        <v>3</v>
      </c>
      <c r="C94" s="114" t="s">
        <v>4</v>
      </c>
      <c r="D94" s="114" t="s">
        <v>5</v>
      </c>
    </row>
    <row r="95" spans="1:4" ht="12.75">
      <c r="A95" s="7" t="s">
        <v>3494</v>
      </c>
      <c r="B95" s="8">
        <v>384</v>
      </c>
      <c r="C95" s="9" t="s">
        <v>3495</v>
      </c>
      <c r="D95" s="7">
        <v>2019</v>
      </c>
    </row>
    <row r="96" spans="1:4" ht="12.75">
      <c r="A96" s="27" t="s">
        <v>3496</v>
      </c>
      <c r="B96" s="28">
        <v>302</v>
      </c>
      <c r="C96" s="100" t="s">
        <v>3497</v>
      </c>
      <c r="D96" s="27">
        <v>2018</v>
      </c>
    </row>
    <row r="97" spans="1:4" ht="12.75">
      <c r="A97" s="7" t="s">
        <v>3498</v>
      </c>
      <c r="B97" s="8">
        <v>245</v>
      </c>
      <c r="C97" s="63" t="s">
        <v>3497</v>
      </c>
      <c r="D97" s="7">
        <v>2018</v>
      </c>
    </row>
    <row r="98" spans="1:4" ht="12.75">
      <c r="A98" s="27" t="s">
        <v>3499</v>
      </c>
      <c r="B98" s="28">
        <v>235</v>
      </c>
      <c r="C98" s="29" t="s">
        <v>3499</v>
      </c>
      <c r="D98" s="27">
        <v>2006</v>
      </c>
    </row>
    <row r="99" spans="1:4" ht="12.75">
      <c r="A99" s="7" t="s">
        <v>3500</v>
      </c>
      <c r="B99" s="8">
        <v>218</v>
      </c>
      <c r="C99" s="9" t="s">
        <v>3499</v>
      </c>
      <c r="D99" s="7">
        <v>2006</v>
      </c>
    </row>
    <row r="100" spans="1:4" ht="12.75">
      <c r="A100" s="27" t="s">
        <v>3501</v>
      </c>
      <c r="B100" s="28">
        <v>215</v>
      </c>
      <c r="C100" s="29" t="s">
        <v>3495</v>
      </c>
      <c r="D100" s="27">
        <v>2019</v>
      </c>
    </row>
    <row r="101" spans="1:4" ht="12.75">
      <c r="A101" s="7" t="s">
        <v>3502</v>
      </c>
      <c r="B101" s="8">
        <v>198</v>
      </c>
      <c r="C101" s="9" t="s">
        <v>3499</v>
      </c>
      <c r="D101" s="7">
        <v>2006</v>
      </c>
    </row>
    <row r="102" spans="1:4" ht="12.75">
      <c r="A102" s="27" t="s">
        <v>3503</v>
      </c>
      <c r="B102" s="28">
        <v>182</v>
      </c>
      <c r="C102" s="29" t="s">
        <v>3495</v>
      </c>
      <c r="D102" s="27">
        <v>2019</v>
      </c>
    </row>
    <row r="103" spans="1:4" ht="12.75">
      <c r="A103" s="7" t="s">
        <v>3504</v>
      </c>
      <c r="B103" s="8">
        <v>163</v>
      </c>
      <c r="C103" s="9" t="s">
        <v>3495</v>
      </c>
      <c r="D103" s="7">
        <v>2019</v>
      </c>
    </row>
    <row r="104" spans="1:4" ht="12.75">
      <c r="A104" s="27" t="s">
        <v>3505</v>
      </c>
      <c r="B104" s="28">
        <v>137</v>
      </c>
      <c r="C104" s="29" t="s">
        <v>3499</v>
      </c>
      <c r="D104" s="27">
        <v>2006</v>
      </c>
    </row>
    <row r="105" spans="1:4" ht="12.75">
      <c r="A105" s="155"/>
      <c r="B105" s="156"/>
      <c r="C105" s="156"/>
      <c r="D105" s="161"/>
    </row>
    <row r="106" spans="1:4" ht="18">
      <c r="A106" s="112" t="s">
        <v>3506</v>
      </c>
      <c r="B106" s="113">
        <v>44404</v>
      </c>
      <c r="C106" s="29"/>
      <c r="D106" s="117" t="s">
        <v>1</v>
      </c>
    </row>
    <row r="107" spans="1:4" ht="12.75">
      <c r="A107" s="114" t="s">
        <v>2</v>
      </c>
      <c r="B107" s="114" t="s">
        <v>3</v>
      </c>
      <c r="C107" s="114" t="s">
        <v>4</v>
      </c>
      <c r="D107" s="114" t="s">
        <v>5</v>
      </c>
    </row>
    <row r="108" spans="1:4" ht="12.75">
      <c r="A108" s="7" t="s">
        <v>3507</v>
      </c>
      <c r="B108" s="8">
        <v>92</v>
      </c>
      <c r="C108" s="9" t="s">
        <v>3508</v>
      </c>
      <c r="D108" s="7">
        <v>2013</v>
      </c>
    </row>
    <row r="109" spans="1:4" ht="12.75">
      <c r="A109" s="27" t="s">
        <v>3509</v>
      </c>
      <c r="B109" s="28">
        <v>74</v>
      </c>
      <c r="C109" s="29" t="s">
        <v>3510</v>
      </c>
      <c r="D109" s="27">
        <v>2006</v>
      </c>
    </row>
    <row r="110" spans="1:4" ht="12.75">
      <c r="A110" s="7" t="s">
        <v>3511</v>
      </c>
      <c r="B110" s="8">
        <v>49</v>
      </c>
      <c r="C110" s="9" t="s">
        <v>3508</v>
      </c>
      <c r="D110" s="7">
        <v>2013</v>
      </c>
    </row>
    <row r="111" spans="1:4" ht="12.75">
      <c r="A111" s="27" t="s">
        <v>3512</v>
      </c>
      <c r="B111" s="28">
        <v>46</v>
      </c>
      <c r="C111" s="29" t="s">
        <v>3513</v>
      </c>
      <c r="D111" s="27">
        <v>2011</v>
      </c>
    </row>
    <row r="112" spans="1:4" ht="12.75">
      <c r="A112" s="7" t="s">
        <v>3514</v>
      </c>
      <c r="B112" s="8">
        <v>46</v>
      </c>
      <c r="C112" s="9" t="s">
        <v>3513</v>
      </c>
      <c r="D112" s="7">
        <v>2011</v>
      </c>
    </row>
    <row r="113" spans="1:4" ht="12.75">
      <c r="A113" s="27" t="s">
        <v>3515</v>
      </c>
      <c r="B113" s="28">
        <v>43</v>
      </c>
      <c r="C113" s="29" t="s">
        <v>3508</v>
      </c>
      <c r="D113" s="27">
        <v>2013</v>
      </c>
    </row>
    <row r="114" spans="1:4" ht="12.75">
      <c r="A114" s="7" t="s">
        <v>3516</v>
      </c>
      <c r="B114" s="8">
        <v>37</v>
      </c>
      <c r="C114" s="9" t="s">
        <v>3508</v>
      </c>
      <c r="D114" s="7">
        <v>2013</v>
      </c>
    </row>
    <row r="115" spans="1:4" ht="12.75">
      <c r="A115" s="27" t="s">
        <v>3517</v>
      </c>
      <c r="B115" s="28">
        <v>35</v>
      </c>
      <c r="C115" s="29" t="s">
        <v>3513</v>
      </c>
      <c r="D115" s="27">
        <v>2011</v>
      </c>
    </row>
    <row r="116" spans="1:4" ht="12.75">
      <c r="A116" s="7" t="s">
        <v>3518</v>
      </c>
      <c r="B116" s="8">
        <v>35</v>
      </c>
      <c r="C116" s="9" t="s">
        <v>3519</v>
      </c>
      <c r="D116" s="7">
        <v>2003</v>
      </c>
    </row>
    <row r="117" spans="1:4" ht="12.75">
      <c r="A117" s="27" t="s">
        <v>3520</v>
      </c>
      <c r="B117" s="28">
        <v>34</v>
      </c>
      <c r="C117" s="29" t="s">
        <v>3513</v>
      </c>
      <c r="D117" s="27">
        <v>2011</v>
      </c>
    </row>
    <row r="118" spans="1:4" ht="12.75">
      <c r="A118" s="155"/>
      <c r="B118" s="156"/>
      <c r="C118" s="156"/>
      <c r="D118" s="161"/>
    </row>
    <row r="119" spans="1:4" ht="18">
      <c r="A119" s="112" t="str">
        <f>HYPERLINK("https://www.reddit.com/r/indieheads/comments/5ojxa0/top_ten_tuesday_titus_andronicus/","Titus Andronicus")</f>
        <v>Titus Andronicus</v>
      </c>
      <c r="B119" s="118">
        <v>42386</v>
      </c>
      <c r="C119" s="27"/>
      <c r="D119" s="27"/>
    </row>
    <row r="120" spans="1:4" ht="12.75">
      <c r="A120" s="114" t="s">
        <v>2</v>
      </c>
      <c r="B120" s="114" t="s">
        <v>3</v>
      </c>
      <c r="C120" s="114" t="s">
        <v>4</v>
      </c>
      <c r="D120" s="114" t="s">
        <v>5</v>
      </c>
    </row>
    <row r="121" spans="1:4" ht="12.75">
      <c r="A121" s="7" t="s">
        <v>3521</v>
      </c>
      <c r="B121" s="8">
        <v>247</v>
      </c>
      <c r="C121" s="9" t="str">
        <f t="shared" ref="C121:C122" si="9">HYPERLINK("https://en.wikipedia.org/wiki/The_Monitor_(album)","The Monitor")</f>
        <v>The Monitor</v>
      </c>
      <c r="D121" s="7">
        <v>2010</v>
      </c>
    </row>
    <row r="122" spans="1:4" ht="12.75">
      <c r="A122" s="27" t="s">
        <v>3522</v>
      </c>
      <c r="B122" s="28">
        <v>215</v>
      </c>
      <c r="C122" s="29" t="str">
        <f t="shared" si="9"/>
        <v>The Monitor</v>
      </c>
      <c r="D122" s="27">
        <v>2010</v>
      </c>
    </row>
    <row r="123" spans="1:4" ht="12.75">
      <c r="A123" s="7" t="s">
        <v>3523</v>
      </c>
      <c r="B123" s="8">
        <v>138</v>
      </c>
      <c r="C123" s="9" t="str">
        <f>HYPERLINK("https://en.wikipedia.org/wiki/The_Most_Lamentable_Tragedy","The Most Lamentable Tragedy")</f>
        <v>The Most Lamentable Tragedy</v>
      </c>
      <c r="D123" s="7">
        <v>2015</v>
      </c>
    </row>
    <row r="124" spans="1:4" ht="12.75">
      <c r="A124" s="27" t="s">
        <v>3524</v>
      </c>
      <c r="B124" s="28">
        <v>135</v>
      </c>
      <c r="C124" s="29" t="str">
        <f t="shared" ref="C124:C127" si="10">HYPERLINK("https://en.wikipedia.org/wiki/The_Monitor_(album)","The Monitor")</f>
        <v>The Monitor</v>
      </c>
      <c r="D124" s="27">
        <v>2010</v>
      </c>
    </row>
    <row r="125" spans="1:4" ht="12.75">
      <c r="A125" s="7" t="s">
        <v>3525</v>
      </c>
      <c r="B125" s="8">
        <v>127</v>
      </c>
      <c r="C125" s="9" t="str">
        <f t="shared" si="10"/>
        <v>The Monitor</v>
      </c>
      <c r="D125" s="7">
        <v>2010</v>
      </c>
    </row>
    <row r="126" spans="1:4" ht="12.75">
      <c r="A126" s="27" t="s">
        <v>3526</v>
      </c>
      <c r="B126" s="28">
        <v>79</v>
      </c>
      <c r="C126" s="29" t="str">
        <f t="shared" si="10"/>
        <v>The Monitor</v>
      </c>
      <c r="D126" s="27">
        <v>2010</v>
      </c>
    </row>
    <row r="127" spans="1:4" ht="12.75">
      <c r="A127" s="7" t="s">
        <v>3527</v>
      </c>
      <c r="B127" s="8">
        <v>78</v>
      </c>
      <c r="C127" s="9" t="str">
        <f t="shared" si="10"/>
        <v>The Monitor</v>
      </c>
      <c r="D127" s="7">
        <v>2010</v>
      </c>
    </row>
    <row r="128" spans="1:4" ht="12.75">
      <c r="A128" s="27" t="s">
        <v>3528</v>
      </c>
      <c r="B128" s="28">
        <v>68</v>
      </c>
      <c r="C128" s="29" t="str">
        <f>HYPERLINK("https://en.wikipedia.org/wiki/The_Most_Lamentable_Tragedy","The Most Lamentable Tragedy")</f>
        <v>The Most Lamentable Tragedy</v>
      </c>
      <c r="D128" s="27">
        <v>2015</v>
      </c>
    </row>
    <row r="129" spans="1:4" ht="12.75">
      <c r="A129" s="7" t="s">
        <v>3529</v>
      </c>
      <c r="B129" s="8">
        <v>67</v>
      </c>
      <c r="C129" s="9" t="str">
        <f>HYPERLINK("https://en.wikipedia.org/wiki/The_Airing_of_Grievances","The Airing of Grievances")</f>
        <v>The Airing of Grievances</v>
      </c>
      <c r="D129" s="7">
        <v>2008</v>
      </c>
    </row>
    <row r="130" spans="1:4" ht="12.75">
      <c r="A130" s="27" t="s">
        <v>3530</v>
      </c>
      <c r="B130" s="28">
        <v>65</v>
      </c>
      <c r="C130" s="29" t="str">
        <f>HYPERLINK("https://en.wikipedia.org/wiki/The_Monitor_(album)","The Monitor")</f>
        <v>The Monitor</v>
      </c>
      <c r="D130" s="27">
        <v>2010</v>
      </c>
    </row>
    <row r="131" spans="1:4" ht="12.75">
      <c r="A131" s="155"/>
      <c r="B131" s="156"/>
      <c r="C131" s="156"/>
      <c r="D131" s="161"/>
    </row>
    <row r="132" spans="1:4" ht="18">
      <c r="A132" s="112" t="str">
        <f>HYPERLINK("https://www.reddit.com/r/indieheads/comments/50awci/top_ten_tuesday_tom_waits/","Tom Waits")</f>
        <v>Tom Waits</v>
      </c>
      <c r="B132" s="118">
        <v>42612</v>
      </c>
      <c r="C132" s="27"/>
      <c r="D132" s="27"/>
    </row>
    <row r="133" spans="1:4" ht="12.75">
      <c r="A133" s="114" t="s">
        <v>2</v>
      </c>
      <c r="B133" s="114" t="s">
        <v>3</v>
      </c>
      <c r="C133" s="114" t="s">
        <v>4</v>
      </c>
      <c r="D133" s="114" t="s">
        <v>5</v>
      </c>
    </row>
    <row r="134" spans="1:4" ht="12.75">
      <c r="A134" s="7" t="s">
        <v>3531</v>
      </c>
      <c r="B134" s="8">
        <v>110</v>
      </c>
      <c r="C134" s="9" t="str">
        <f t="shared" ref="C134:C135" si="11">HYPERLINK("https://en.wikipedia.org/wiki/Rain_Dogs","Rain Dogs")</f>
        <v>Rain Dogs</v>
      </c>
      <c r="D134" s="7">
        <v>1985</v>
      </c>
    </row>
    <row r="135" spans="1:4" ht="12.75">
      <c r="A135" s="27" t="s">
        <v>3532</v>
      </c>
      <c r="B135" s="28">
        <v>104</v>
      </c>
      <c r="C135" s="29" t="str">
        <f t="shared" si="11"/>
        <v>Rain Dogs</v>
      </c>
      <c r="D135" s="27">
        <v>1985</v>
      </c>
    </row>
    <row r="136" spans="1:4" ht="12.75">
      <c r="A136" s="7" t="s">
        <v>3533</v>
      </c>
      <c r="B136" s="8">
        <v>98</v>
      </c>
      <c r="C136" s="9" t="str">
        <f>HYPERLINK("https://en.wikipedia.org/wiki/Mule_Variations","Mule Variations")</f>
        <v>Mule Variations</v>
      </c>
      <c r="D136" s="7">
        <v>1999</v>
      </c>
    </row>
    <row r="137" spans="1:4" ht="12.75">
      <c r="A137" s="27" t="s">
        <v>3534</v>
      </c>
      <c r="B137" s="28">
        <v>90</v>
      </c>
      <c r="C137" s="29" t="str">
        <f>HYPERLINK("https://en.wikipedia.org/wiki/Alice_(Tom_Waits_album)","Alice")</f>
        <v>Alice</v>
      </c>
      <c r="D137" s="27">
        <v>2002</v>
      </c>
    </row>
    <row r="138" spans="1:4" ht="12.75">
      <c r="A138" s="7" t="s">
        <v>3535</v>
      </c>
      <c r="B138" s="8">
        <v>87</v>
      </c>
      <c r="C138" s="9" t="str">
        <f>HYPERLINK("https://en.wikipedia.org/wiki/Closing_Time_(album)","Closing Time")</f>
        <v>Closing Time</v>
      </c>
      <c r="D138" s="7">
        <v>1973</v>
      </c>
    </row>
    <row r="139" spans="1:4" ht="12.75">
      <c r="A139" s="27" t="s">
        <v>3536</v>
      </c>
      <c r="B139" s="28">
        <v>87</v>
      </c>
      <c r="C139" s="29" t="str">
        <f>HYPERLINK("https://en.wikipedia.org/wiki/Mule_Variations","Mule Variations")</f>
        <v>Mule Variations</v>
      </c>
      <c r="D139" s="27">
        <v>1999</v>
      </c>
    </row>
    <row r="140" spans="1:4" ht="12.75">
      <c r="A140" s="7" t="s">
        <v>3537</v>
      </c>
      <c r="B140" s="8">
        <v>85</v>
      </c>
      <c r="C140" s="9" t="str">
        <f>HYPERLINK("https://en.wikipedia.org/wiki/Small_Change_(Tom_Waits_album)","Small Change")</f>
        <v>Small Change</v>
      </c>
      <c r="D140" s="7">
        <v>1976</v>
      </c>
    </row>
    <row r="141" spans="1:4" ht="12.75">
      <c r="A141" s="27" t="s">
        <v>3538</v>
      </c>
      <c r="B141" s="28">
        <v>76</v>
      </c>
      <c r="C141" s="29" t="str">
        <f t="shared" ref="C141:C142" si="12">HYPERLINK("https://en.wikipedia.org/wiki/Rain_Dogs","Rain Dogs")</f>
        <v>Rain Dogs</v>
      </c>
      <c r="D141" s="27">
        <v>1985</v>
      </c>
    </row>
    <row r="142" spans="1:4" ht="12.75">
      <c r="A142" s="7" t="s">
        <v>3539</v>
      </c>
      <c r="B142" s="8">
        <v>68</v>
      </c>
      <c r="C142" s="9" t="str">
        <f t="shared" si="12"/>
        <v>Rain Dogs</v>
      </c>
      <c r="D142" s="7">
        <v>1985</v>
      </c>
    </row>
    <row r="143" spans="1:4" ht="12.75">
      <c r="A143" s="27" t="s">
        <v>3540</v>
      </c>
      <c r="B143" s="28">
        <v>67</v>
      </c>
      <c r="C143" s="29" t="str">
        <f>HYPERLINK("https://en.wikipedia.org/wiki/Bone_Machine","Bone Machine")</f>
        <v>Bone Machine</v>
      </c>
      <c r="D143" s="27">
        <v>1992</v>
      </c>
    </row>
    <row r="144" spans="1:4" ht="12.75">
      <c r="A144" s="155"/>
      <c r="B144" s="156"/>
      <c r="C144" s="156"/>
      <c r="D144" s="161"/>
    </row>
    <row r="145" spans="1:4" ht="18">
      <c r="A145" s="119" t="s">
        <v>3541</v>
      </c>
      <c r="B145" s="120">
        <v>44852</v>
      </c>
    </row>
    <row r="146" spans="1:4" ht="12.75">
      <c r="A146" s="121" t="s">
        <v>2</v>
      </c>
      <c r="B146" s="121" t="s">
        <v>3</v>
      </c>
      <c r="C146" s="121" t="s">
        <v>4</v>
      </c>
      <c r="D146" s="121" t="s">
        <v>5</v>
      </c>
    </row>
    <row r="147" spans="1:4" ht="12.75">
      <c r="A147" s="16" t="s">
        <v>3542</v>
      </c>
      <c r="B147" s="16">
        <v>111</v>
      </c>
      <c r="C147" s="16" t="s">
        <v>3542</v>
      </c>
      <c r="D147" s="16">
        <v>2001</v>
      </c>
    </row>
    <row r="148" spans="1:4" ht="12.75">
      <c r="A148" s="17" t="s">
        <v>3543</v>
      </c>
      <c r="B148" s="17">
        <v>103</v>
      </c>
      <c r="C148" s="17" t="s">
        <v>3542</v>
      </c>
      <c r="D148" s="17">
        <v>2001</v>
      </c>
    </row>
    <row r="149" spans="1:4" ht="12.75">
      <c r="A149" s="16" t="s">
        <v>3544</v>
      </c>
      <c r="B149" s="16">
        <v>83</v>
      </c>
      <c r="C149" s="16" t="s">
        <v>3542</v>
      </c>
      <c r="D149" s="16">
        <v>2001</v>
      </c>
    </row>
    <row r="150" spans="1:4" ht="12.75">
      <c r="A150" s="17" t="s">
        <v>3545</v>
      </c>
      <c r="B150" s="17">
        <v>73</v>
      </c>
      <c r="C150" s="17" t="s">
        <v>3546</v>
      </c>
      <c r="D150" s="17">
        <v>1996</v>
      </c>
    </row>
    <row r="151" spans="1:4" ht="12.75">
      <c r="A151" s="16" t="s">
        <v>3547</v>
      </c>
      <c r="B151" s="16">
        <v>73</v>
      </c>
      <c r="C151" s="16" t="s">
        <v>3546</v>
      </c>
      <c r="D151" s="16">
        <v>1996</v>
      </c>
    </row>
    <row r="152" spans="1:4" ht="12.75">
      <c r="A152" s="17" t="s">
        <v>3548</v>
      </c>
      <c r="B152" s="17">
        <v>67</v>
      </c>
      <c r="C152" s="17" t="s">
        <v>3542</v>
      </c>
      <c r="D152" s="17">
        <v>2001</v>
      </c>
    </row>
    <row r="153" spans="1:4" ht="12.75">
      <c r="A153" s="16" t="s">
        <v>3549</v>
      </c>
      <c r="B153" s="16">
        <v>57</v>
      </c>
      <c r="C153" s="16" t="s">
        <v>3546</v>
      </c>
      <c r="D153" s="16">
        <v>1996</v>
      </c>
    </row>
    <row r="154" spans="1:4" ht="12.75">
      <c r="A154" s="17" t="s">
        <v>3550</v>
      </c>
      <c r="B154" s="17">
        <v>52</v>
      </c>
      <c r="C154" s="17" t="s">
        <v>3546</v>
      </c>
      <c r="D154" s="17">
        <v>1996</v>
      </c>
    </row>
    <row r="155" spans="1:4" ht="12.75">
      <c r="A155" s="16" t="s">
        <v>3551</v>
      </c>
      <c r="B155" s="16">
        <v>52</v>
      </c>
      <c r="C155" s="16" t="s">
        <v>3552</v>
      </c>
      <c r="D155" s="16">
        <v>2006</v>
      </c>
    </row>
    <row r="156" spans="1:4" ht="12.75">
      <c r="A156" s="17" t="s">
        <v>3553</v>
      </c>
      <c r="B156" s="17">
        <v>40</v>
      </c>
      <c r="C156" s="17" t="s">
        <v>3552</v>
      </c>
      <c r="D156" s="17">
        <v>2006</v>
      </c>
    </row>
    <row r="157" spans="1:4" ht="12.75">
      <c r="A157" s="155"/>
      <c r="B157" s="156"/>
      <c r="C157" s="156"/>
      <c r="D157" s="156"/>
    </row>
    <row r="158" spans="1:4" ht="18">
      <c r="A158" s="112" t="s">
        <v>3554</v>
      </c>
      <c r="B158" s="113">
        <v>44446</v>
      </c>
      <c r="C158" s="27"/>
      <c r="D158" s="116" t="s">
        <v>1</v>
      </c>
    </row>
    <row r="159" spans="1:4" ht="12.75">
      <c r="A159" s="114" t="s">
        <v>2</v>
      </c>
      <c r="B159" s="114" t="s">
        <v>3</v>
      </c>
      <c r="C159" s="114" t="s">
        <v>4</v>
      </c>
      <c r="D159" s="114" t="s">
        <v>5</v>
      </c>
    </row>
    <row r="160" spans="1:4" ht="12.75">
      <c r="A160" s="7" t="s">
        <v>3555</v>
      </c>
      <c r="B160" s="8">
        <v>85</v>
      </c>
      <c r="C160" s="9" t="s">
        <v>3556</v>
      </c>
      <c r="D160" s="7">
        <v>1992</v>
      </c>
    </row>
    <row r="161" spans="1:4" ht="12.75">
      <c r="A161" s="27" t="s">
        <v>3557</v>
      </c>
      <c r="B161" s="28">
        <v>81</v>
      </c>
      <c r="C161" s="29" t="s">
        <v>3558</v>
      </c>
      <c r="D161" s="27">
        <v>1994</v>
      </c>
    </row>
    <row r="162" spans="1:4" ht="12.75">
      <c r="A162" s="7" t="s">
        <v>3559</v>
      </c>
      <c r="B162" s="8">
        <v>58</v>
      </c>
      <c r="C162" s="9" t="s">
        <v>3560</v>
      </c>
      <c r="D162" s="7">
        <v>1996</v>
      </c>
    </row>
    <row r="163" spans="1:4" ht="12.75">
      <c r="A163" s="27" t="s">
        <v>3561</v>
      </c>
      <c r="B163" s="28">
        <v>57</v>
      </c>
      <c r="C163" s="29" t="s">
        <v>3562</v>
      </c>
      <c r="D163" s="27">
        <v>1998</v>
      </c>
    </row>
    <row r="164" spans="1:4" ht="12.75">
      <c r="A164" s="7" t="s">
        <v>3563</v>
      </c>
      <c r="B164" s="8">
        <v>55</v>
      </c>
      <c r="C164" s="9" t="s">
        <v>3556</v>
      </c>
      <c r="D164" s="7">
        <v>1992</v>
      </c>
    </row>
    <row r="165" spans="1:4" ht="12.75">
      <c r="A165" s="27" t="s">
        <v>3564</v>
      </c>
      <c r="B165" s="28">
        <v>55</v>
      </c>
      <c r="C165" s="29" t="s">
        <v>3560</v>
      </c>
      <c r="D165" s="27">
        <v>1996</v>
      </c>
    </row>
    <row r="166" spans="1:4" ht="12.75">
      <c r="A166" s="7" t="s">
        <v>3565</v>
      </c>
      <c r="B166" s="8">
        <v>50</v>
      </c>
      <c r="C166" s="9" t="s">
        <v>3566</v>
      </c>
      <c r="D166" s="7">
        <v>2002</v>
      </c>
    </row>
    <row r="167" spans="1:4" ht="12.75">
      <c r="A167" s="27" t="s">
        <v>3567</v>
      </c>
      <c r="B167" s="28">
        <v>48</v>
      </c>
      <c r="C167" s="29" t="s">
        <v>3568</v>
      </c>
      <c r="D167" s="27">
        <v>1999</v>
      </c>
    </row>
    <row r="168" spans="1:4" ht="12.75">
      <c r="A168" s="7" t="s">
        <v>3569</v>
      </c>
      <c r="B168" s="8">
        <v>47</v>
      </c>
      <c r="C168" s="9" t="s">
        <v>3560</v>
      </c>
      <c r="D168" s="7">
        <v>1996</v>
      </c>
    </row>
    <row r="169" spans="1:4" ht="12.75">
      <c r="A169" s="27" t="s">
        <v>2346</v>
      </c>
      <c r="B169" s="28">
        <v>45</v>
      </c>
      <c r="C169" s="27"/>
      <c r="D169" s="27">
        <v>1992</v>
      </c>
    </row>
    <row r="170" spans="1:4" ht="12.75">
      <c r="A170" s="155"/>
      <c r="B170" s="156"/>
      <c r="C170" s="156"/>
      <c r="D170" s="161"/>
    </row>
    <row r="171" spans="1:4" ht="18">
      <c r="A171" s="112" t="str">
        <f>HYPERLINK("https://www.reddit.com/r/indieheads/comments/85tvqg/top_ten_tuesday_toro_y_moi/","Toro y Moi")</f>
        <v>Toro y Moi</v>
      </c>
      <c r="B171" s="113">
        <v>43179</v>
      </c>
      <c r="C171" s="27"/>
      <c r="D171" s="27"/>
    </row>
    <row r="172" spans="1:4" ht="12.75">
      <c r="A172" s="114" t="s">
        <v>2</v>
      </c>
      <c r="B172" s="114" t="s">
        <v>3</v>
      </c>
      <c r="C172" s="114" t="s">
        <v>4</v>
      </c>
      <c r="D172" s="114" t="s">
        <v>5</v>
      </c>
    </row>
    <row r="173" spans="1:4" ht="12.75">
      <c r="A173" s="7" t="s">
        <v>3570</v>
      </c>
      <c r="B173" s="8">
        <v>117</v>
      </c>
      <c r="C173" s="9" t="str">
        <f>HYPERLINK("https://en.wikipedia.org/wiki/Anything_in_Return","Anything in Return")</f>
        <v>Anything in Return</v>
      </c>
      <c r="D173" s="7">
        <v>2012</v>
      </c>
    </row>
    <row r="174" spans="1:4" ht="12.75">
      <c r="A174" s="27" t="s">
        <v>3571</v>
      </c>
      <c r="B174" s="28">
        <v>108</v>
      </c>
      <c r="C174" s="29" t="str">
        <f t="shared" ref="C174:C175" si="13">HYPERLINK("https://en.wikipedia.org/wiki/Underneath_the_Pine","Underneath the Pine")</f>
        <v>Underneath the Pine</v>
      </c>
      <c r="D174" s="27">
        <v>2011</v>
      </c>
    </row>
    <row r="175" spans="1:4" ht="12.75">
      <c r="A175" s="7" t="s">
        <v>3572</v>
      </c>
      <c r="B175" s="8">
        <v>95</v>
      </c>
      <c r="C175" s="9" t="str">
        <f t="shared" si="13"/>
        <v>Underneath the Pine</v>
      </c>
      <c r="D175" s="7">
        <v>2011</v>
      </c>
    </row>
    <row r="176" spans="1:4" ht="12.75">
      <c r="A176" s="27" t="s">
        <v>3573</v>
      </c>
      <c r="B176" s="28">
        <v>86</v>
      </c>
      <c r="C176" s="29" t="str">
        <f>HYPERLINK("https://en.wikipedia.org/wiki/Anything_in_Return","Anything in Return")</f>
        <v>Anything in Return</v>
      </c>
      <c r="D176" s="27">
        <v>2013</v>
      </c>
    </row>
    <row r="177" spans="1:4" ht="12.75">
      <c r="A177" s="7" t="s">
        <v>3574</v>
      </c>
      <c r="B177" s="8">
        <v>73</v>
      </c>
      <c r="C177" s="9" t="str">
        <f t="shared" ref="C177:C179" si="14">HYPERLINK("https://en.wikipedia.org/wiki/Causers_of_This","Causers of This")</f>
        <v>Causers of This</v>
      </c>
      <c r="D177" s="7">
        <v>2010</v>
      </c>
    </row>
    <row r="178" spans="1:4" ht="12.75">
      <c r="A178" s="27" t="s">
        <v>3575</v>
      </c>
      <c r="B178" s="28">
        <v>66</v>
      </c>
      <c r="C178" s="29" t="str">
        <f t="shared" si="14"/>
        <v>Causers of This</v>
      </c>
      <c r="D178" s="27">
        <v>2010</v>
      </c>
    </row>
    <row r="179" spans="1:4" ht="12.75">
      <c r="A179" s="7" t="s">
        <v>3576</v>
      </c>
      <c r="B179" s="8">
        <v>53</v>
      </c>
      <c r="C179" s="9" t="str">
        <f t="shared" si="14"/>
        <v>Causers of This</v>
      </c>
      <c r="D179" s="7">
        <v>2010</v>
      </c>
    </row>
    <row r="180" spans="1:4" ht="12.75">
      <c r="A180" s="27" t="s">
        <v>3577</v>
      </c>
      <c r="B180" s="28">
        <v>53</v>
      </c>
      <c r="C180" s="29" t="str">
        <f>HYPERLINK("https://en.wikipedia.org/wiki/Anything_in_Return","Anything in Return")</f>
        <v>Anything in Return</v>
      </c>
      <c r="D180" s="27">
        <v>2013</v>
      </c>
    </row>
    <row r="181" spans="1:4" ht="12.75">
      <c r="A181" s="7" t="s">
        <v>3578</v>
      </c>
      <c r="B181" s="8">
        <v>43</v>
      </c>
      <c r="C181" s="9" t="str">
        <f>HYPERLINK("https://en.wikipedia.org/wiki/Underneath_the_Pine","Underneath the Pine")</f>
        <v>Underneath the Pine</v>
      </c>
      <c r="D181" s="7">
        <v>2011</v>
      </c>
    </row>
    <row r="182" spans="1:4" ht="12.75">
      <c r="A182" s="27" t="s">
        <v>3579</v>
      </c>
      <c r="B182" s="28">
        <v>40</v>
      </c>
      <c r="C182" s="29" t="str">
        <f>HYPERLINK("https://en.wikipedia.org/wiki/Boo_Boo_(album)","Boo Boo")</f>
        <v>Boo Boo</v>
      </c>
      <c r="D182" s="27">
        <v>2017</v>
      </c>
    </row>
    <row r="183" spans="1:4" ht="12.75">
      <c r="A183" s="155"/>
      <c r="B183" s="156"/>
      <c r="C183" s="156"/>
      <c r="D183" s="161"/>
    </row>
    <row r="184" spans="1:4" ht="18">
      <c r="A184" s="112" t="s">
        <v>3580</v>
      </c>
      <c r="B184" s="113">
        <v>44691</v>
      </c>
      <c r="C184" s="27"/>
      <c r="D184" s="116" t="s">
        <v>1</v>
      </c>
    </row>
    <row r="185" spans="1:4" ht="12.75">
      <c r="A185" s="114" t="s">
        <v>2</v>
      </c>
      <c r="B185" s="114" t="s">
        <v>3</v>
      </c>
      <c r="C185" s="114" t="s">
        <v>4</v>
      </c>
      <c r="D185" s="114" t="s">
        <v>5</v>
      </c>
    </row>
    <row r="186" spans="1:4" ht="12.75">
      <c r="A186" s="7" t="s">
        <v>3581</v>
      </c>
      <c r="B186" s="8">
        <v>127</v>
      </c>
      <c r="C186" s="9" t="s">
        <v>3582</v>
      </c>
      <c r="D186" s="7">
        <v>2018</v>
      </c>
    </row>
    <row r="187" spans="1:4" ht="12.75">
      <c r="A187" s="27" t="s">
        <v>3583</v>
      </c>
      <c r="B187" s="28">
        <v>105</v>
      </c>
      <c r="C187" s="29" t="s">
        <v>3584</v>
      </c>
      <c r="D187" s="27">
        <v>2019</v>
      </c>
    </row>
    <row r="188" spans="1:4" ht="12.75">
      <c r="A188" s="7" t="s">
        <v>3585</v>
      </c>
      <c r="B188" s="8">
        <v>79</v>
      </c>
      <c r="C188" s="9" t="s">
        <v>3584</v>
      </c>
      <c r="D188" s="7">
        <v>2019</v>
      </c>
    </row>
    <row r="189" spans="1:4" ht="12.75">
      <c r="A189" s="27" t="s">
        <v>3586</v>
      </c>
      <c r="B189" s="28">
        <v>72</v>
      </c>
      <c r="C189" s="12" t="s">
        <v>3582</v>
      </c>
      <c r="D189" s="10">
        <v>2018</v>
      </c>
    </row>
    <row r="190" spans="1:4" ht="12.75">
      <c r="A190" s="7" t="s">
        <v>3584</v>
      </c>
      <c r="B190" s="8">
        <v>69</v>
      </c>
      <c r="C190" s="9" t="s">
        <v>3584</v>
      </c>
      <c r="D190" s="7">
        <v>2019</v>
      </c>
    </row>
    <row r="191" spans="1:4" ht="12.75">
      <c r="A191" s="27" t="s">
        <v>3587</v>
      </c>
      <c r="B191" s="28">
        <v>49</v>
      </c>
      <c r="C191" s="12" t="s">
        <v>3582</v>
      </c>
      <c r="D191" s="10">
        <v>2018</v>
      </c>
    </row>
    <row r="192" spans="1:4" ht="12.75">
      <c r="A192" s="7" t="s">
        <v>3588</v>
      </c>
      <c r="B192" s="8">
        <v>46</v>
      </c>
      <c r="C192" s="9" t="s">
        <v>3582</v>
      </c>
      <c r="D192" s="7">
        <v>2018</v>
      </c>
    </row>
    <row r="193" spans="1:4" ht="12.75">
      <c r="A193" s="27" t="s">
        <v>3589</v>
      </c>
      <c r="B193" s="28">
        <v>45</v>
      </c>
      <c r="C193" s="29" t="s">
        <v>3584</v>
      </c>
      <c r="D193" s="27">
        <v>2019</v>
      </c>
    </row>
    <row r="194" spans="1:4" ht="12.75">
      <c r="A194" s="7" t="s">
        <v>3582</v>
      </c>
      <c r="B194" s="8">
        <v>45</v>
      </c>
      <c r="C194" s="9" t="s">
        <v>3582</v>
      </c>
      <c r="D194" s="7">
        <v>2018</v>
      </c>
    </row>
    <row r="195" spans="1:4" ht="12.75">
      <c r="A195" s="27" t="s">
        <v>3590</v>
      </c>
      <c r="B195" s="28">
        <v>42</v>
      </c>
      <c r="C195" s="29" t="s">
        <v>3584</v>
      </c>
      <c r="D195" s="27">
        <v>2019</v>
      </c>
    </row>
    <row r="196" spans="1:4" ht="12.75">
      <c r="A196" s="155"/>
      <c r="B196" s="156"/>
      <c r="C196" s="156"/>
      <c r="D196" s="161"/>
    </row>
    <row r="197" spans="1:4" ht="18">
      <c r="A197" s="112" t="str">
        <f>HYPERLINK("https://www.reddit.com/r/indieheads/comments/9axfm7/top_ten_tuesday_tuneyards/","Tune-Yards")</f>
        <v>Tune-Yards</v>
      </c>
      <c r="B197" s="113">
        <v>43340</v>
      </c>
      <c r="C197" s="27"/>
      <c r="D197" s="116" t="s">
        <v>1</v>
      </c>
    </row>
    <row r="198" spans="1:4" ht="12.75">
      <c r="A198" s="114" t="s">
        <v>2</v>
      </c>
      <c r="B198" s="114" t="s">
        <v>3</v>
      </c>
      <c r="C198" s="114" t="s">
        <v>4</v>
      </c>
      <c r="D198" s="114" t="s">
        <v>5</v>
      </c>
    </row>
    <row r="199" spans="1:4" ht="12.75">
      <c r="A199" s="7" t="s">
        <v>3591</v>
      </c>
      <c r="B199" s="8">
        <v>162</v>
      </c>
      <c r="C199" s="9" t="str">
        <f>HYPERLINK("https://en.wikipedia.org/wiki/Whokill","Whokill")</f>
        <v>Whokill</v>
      </c>
      <c r="D199" s="7">
        <v>2011</v>
      </c>
    </row>
    <row r="200" spans="1:4" ht="12.75">
      <c r="A200" s="27" t="s">
        <v>3592</v>
      </c>
      <c r="B200" s="28">
        <v>133</v>
      </c>
      <c r="C200" s="29" t="str">
        <f>HYPERLINK("https://en.wikipedia.org/wiki/Nikki_Nack","Nikki Nack")</f>
        <v>Nikki Nack</v>
      </c>
      <c r="D200" s="27">
        <v>2014</v>
      </c>
    </row>
    <row r="201" spans="1:4" ht="12.75">
      <c r="A201" s="7" t="s">
        <v>3593</v>
      </c>
      <c r="B201" s="8">
        <v>123</v>
      </c>
      <c r="C201" s="9" t="str">
        <f t="shared" ref="C201:C203" si="15">HYPERLINK("https://en.wikipedia.org/wiki/Whokill","Whokill")</f>
        <v>Whokill</v>
      </c>
      <c r="D201" s="7">
        <v>2011</v>
      </c>
    </row>
    <row r="202" spans="1:4" ht="12.75">
      <c r="A202" s="27" t="s">
        <v>3594</v>
      </c>
      <c r="B202" s="28">
        <v>116</v>
      </c>
      <c r="C202" s="29" t="str">
        <f t="shared" si="15"/>
        <v>Whokill</v>
      </c>
      <c r="D202" s="27">
        <v>2011</v>
      </c>
    </row>
    <row r="203" spans="1:4" ht="12.75">
      <c r="A203" s="7" t="s">
        <v>3595</v>
      </c>
      <c r="B203" s="8">
        <v>99</v>
      </c>
      <c r="C203" s="9" t="str">
        <f t="shared" si="15"/>
        <v>Whokill</v>
      </c>
      <c r="D203" s="7">
        <v>2011</v>
      </c>
    </row>
    <row r="204" spans="1:4" ht="12.75">
      <c r="A204" s="27" t="s">
        <v>3596</v>
      </c>
      <c r="B204" s="28">
        <v>67</v>
      </c>
      <c r="C204" s="29" t="str">
        <f>HYPERLINK("https://en.wikipedia.org/wiki/Nikki_Nack","Nikki Nack")</f>
        <v>Nikki Nack</v>
      </c>
      <c r="D204" s="27">
        <v>2014</v>
      </c>
    </row>
    <row r="205" spans="1:4" ht="12.75">
      <c r="A205" s="7" t="s">
        <v>3597</v>
      </c>
      <c r="B205" s="8">
        <v>56</v>
      </c>
      <c r="C205" s="9" t="str">
        <f>HYPERLINK("https://en.wikipedia.org/wiki/Whokill","Whokill")</f>
        <v>Whokill</v>
      </c>
      <c r="D205" s="7">
        <v>2011</v>
      </c>
    </row>
    <row r="206" spans="1:4" ht="12.75">
      <c r="A206" s="27" t="s">
        <v>3598</v>
      </c>
      <c r="B206" s="28">
        <v>52</v>
      </c>
      <c r="C206" s="29" t="str">
        <f>HYPERLINK("https://en.wikipedia.org/wiki/Bird-Brains","Bird-Brains")</f>
        <v>Bird-Brains</v>
      </c>
      <c r="D206" s="27">
        <v>2009</v>
      </c>
    </row>
    <row r="207" spans="1:4" ht="12.75">
      <c r="A207" s="7" t="s">
        <v>3599</v>
      </c>
      <c r="B207" s="8">
        <v>43</v>
      </c>
      <c r="C207" s="9" t="str">
        <f>HYPERLINK("https://en.wikipedia.org/wiki/Nikki_Nack","Nikki Nack")</f>
        <v>Nikki Nack</v>
      </c>
      <c r="D207" s="7">
        <v>2014</v>
      </c>
    </row>
    <row r="208" spans="1:4" ht="12.75">
      <c r="A208" s="27" t="s">
        <v>3600</v>
      </c>
      <c r="B208" s="28">
        <v>42</v>
      </c>
      <c r="C208" s="29" t="str">
        <f>HYPERLINK("https://en.wikipedia.org/wiki/I_Can_Feel_You_Creep_Into_My_Private_Life","I Can Feel You Creep Into My Private Life")</f>
        <v>I Can Feel You Creep Into My Private Life</v>
      </c>
      <c r="D208" s="27">
        <v>2018</v>
      </c>
    </row>
    <row r="209" spans="1:4" ht="12.75">
      <c r="A209" s="155"/>
      <c r="B209" s="156"/>
      <c r="C209" s="156"/>
      <c r="D209" s="161"/>
    </row>
    <row r="210" spans="1:4" ht="18">
      <c r="A210" s="112" t="str">
        <f>HYPERLINK("https://www.reddit.com/r/indieheads/comments/3t76z6/top_ten_tuesday_tv_on_the_radio/","TV on the Radio")</f>
        <v>TV on the Radio</v>
      </c>
      <c r="B210" s="115">
        <v>42325</v>
      </c>
      <c r="C210" s="27"/>
      <c r="D210" s="27"/>
    </row>
    <row r="211" spans="1:4" ht="12.75">
      <c r="A211" s="114" t="s">
        <v>2</v>
      </c>
      <c r="B211" s="114" t="s">
        <v>3</v>
      </c>
      <c r="C211" s="114" t="s">
        <v>4</v>
      </c>
      <c r="D211" s="114" t="s">
        <v>5</v>
      </c>
    </row>
    <row r="212" spans="1:4" ht="12.75">
      <c r="A212" s="9" t="str">
        <f>HYPERLINK("https://www.youtube.com/watch?v=Bd-lt5BRCKA","Wolf Like Me")</f>
        <v>Wolf Like Me</v>
      </c>
      <c r="B212" s="8">
        <v>271</v>
      </c>
      <c r="C212" s="9" t="str">
        <f>HYPERLINK("https://en.wikipedia.org/wiki/Return_to_Cookie_Mountain","Return to Cookie Mountain")</f>
        <v>Return to Cookie Mountain</v>
      </c>
      <c r="D212" s="7">
        <v>2006</v>
      </c>
    </row>
    <row r="213" spans="1:4" ht="12.75">
      <c r="A213" s="29" t="str">
        <f>HYPERLINK("https://www.youtube.com/watch?v=cY82rOtZ9BI","Staring at the Sun")</f>
        <v>Staring at the Sun</v>
      </c>
      <c r="B213" s="28">
        <v>187</v>
      </c>
      <c r="C213" s="29" t="str">
        <f>HYPERLINK("https://en.wikipedia.org/wiki/Young_Liars","Young Liars")</f>
        <v>Young Liars</v>
      </c>
      <c r="D213" s="27">
        <v>2003</v>
      </c>
    </row>
    <row r="214" spans="1:4" ht="12.75">
      <c r="A214" s="9" t="str">
        <f>HYPERLINK("https://www.youtube.com/watch?v=SkuXqt_kAcc","DLZ")</f>
        <v>DLZ</v>
      </c>
      <c r="B214" s="8">
        <v>166</v>
      </c>
      <c r="C214" s="9" t="str">
        <f t="shared" ref="C214:C215" si="16">HYPERLINK("https://en.wikipedia.org/wiki/Dear_Science","Dear Science")</f>
        <v>Dear Science</v>
      </c>
      <c r="D214" s="7">
        <v>2008</v>
      </c>
    </row>
    <row r="215" spans="1:4" ht="12.75">
      <c r="A215" s="29" t="str">
        <f>HYPERLINK("https://www.youtube.com/watch?v=0_9j9cpuvx8","Halfway Home")</f>
        <v>Halfway Home</v>
      </c>
      <c r="B215" s="28">
        <v>127</v>
      </c>
      <c r="C215" s="29" t="str">
        <f t="shared" si="16"/>
        <v>Dear Science</v>
      </c>
      <c r="D215" s="27">
        <v>2008</v>
      </c>
    </row>
    <row r="216" spans="1:4" ht="12.75">
      <c r="A216" s="9" t="str">
        <f>HYPERLINK("https://www.youtube.com/watch?v=R8ZB3j-iFOA","I Was a Lover")</f>
        <v>I Was a Lover</v>
      </c>
      <c r="B216" s="8">
        <v>111</v>
      </c>
      <c r="C216" s="9" t="str">
        <f t="shared" ref="C216:C217" si="17">HYPERLINK("https://en.wikipedia.org/wiki/Return_to_Cookie_Mountain","Return to Cookie Mountain")</f>
        <v>Return to Cookie Mountain</v>
      </c>
      <c r="D216" s="7">
        <v>2006</v>
      </c>
    </row>
    <row r="217" spans="1:4" ht="12.75">
      <c r="A217" s="29" t="str">
        <f>HYPERLINK("https://www.youtube.com/watch?v=_whZTOiB5to","Province")</f>
        <v>Province</v>
      </c>
      <c r="B217" s="28">
        <v>105</v>
      </c>
      <c r="C217" s="29" t="str">
        <f t="shared" si="17"/>
        <v>Return to Cookie Mountain</v>
      </c>
      <c r="D217" s="27">
        <v>2006</v>
      </c>
    </row>
    <row r="218" spans="1:4" ht="12.75">
      <c r="A218" s="9" t="str">
        <f>HYPERLINK("https://www.youtube.com/watch?v=QmXpDFAfeMo","Golden Age")</f>
        <v>Golden Age</v>
      </c>
      <c r="B218" s="8">
        <v>83</v>
      </c>
      <c r="C218" s="9" t="str">
        <f>HYPERLINK("https://en.wikipedia.org/wiki/Dear_Science","Dear Science")</f>
        <v>Dear Science</v>
      </c>
      <c r="D218" s="7">
        <v>2008</v>
      </c>
    </row>
    <row r="219" spans="1:4" ht="12.75">
      <c r="A219" s="29" t="str">
        <f>HYPERLINK("https://www.youtube.com/watch?v=1c7JzSH3LiQ","Will Do")</f>
        <v>Will Do</v>
      </c>
      <c r="B219" s="28">
        <v>72</v>
      </c>
      <c r="C219" s="29" t="str">
        <f>HYPERLINK("https://en.wikipedia.org/wiki/Nine_Types_of_Light","Nine Types of Light")</f>
        <v>Nine Types of Light</v>
      </c>
      <c r="D219" s="27">
        <v>2011</v>
      </c>
    </row>
    <row r="220" spans="1:4" ht="12.75">
      <c r="A220" s="9" t="str">
        <f>HYPERLINK("https://www.youtube.com/watch?v=edvw2o9byQ8","Young Liars")</f>
        <v>Young Liars</v>
      </c>
      <c r="B220" s="8">
        <v>64</v>
      </c>
      <c r="C220" s="9" t="str">
        <f>HYPERLINK("https://en.wikipedia.org/wiki/Young_Liars","Young Liars")</f>
        <v>Young Liars</v>
      </c>
      <c r="D220" s="7">
        <v>2003</v>
      </c>
    </row>
    <row r="221" spans="1:4" ht="12.75">
      <c r="A221" s="29" t="str">
        <f>HYPERLINK("https://www.youtube.com/watch?v=u70cfhimn0s","Dancing Choose")</f>
        <v>Dancing Choose</v>
      </c>
      <c r="B221" s="28">
        <v>52</v>
      </c>
      <c r="C221" s="29" t="str">
        <f>HYPERLINK("https://en.wikipedia.org/wiki/Dear_Science","Dear Science")</f>
        <v>Dear Science</v>
      </c>
      <c r="D221" s="27">
        <v>2008</v>
      </c>
    </row>
    <row r="222" spans="1:4" ht="12.75">
      <c r="A222" s="155"/>
      <c r="B222" s="156"/>
      <c r="C222" s="156"/>
      <c r="D222" s="161"/>
    </row>
    <row r="223" spans="1:4" ht="18">
      <c r="A223" s="112" t="s">
        <v>3601</v>
      </c>
      <c r="B223" s="113">
        <v>44376</v>
      </c>
      <c r="C223" s="27"/>
      <c r="D223" s="116" t="s">
        <v>1</v>
      </c>
    </row>
    <row r="224" spans="1:4" ht="12.75">
      <c r="A224" s="114" t="s">
        <v>2</v>
      </c>
      <c r="B224" s="114" t="s">
        <v>3</v>
      </c>
      <c r="C224" s="114" t="s">
        <v>4</v>
      </c>
      <c r="D224" s="114" t="s">
        <v>5</v>
      </c>
    </row>
    <row r="225" spans="1:4" ht="12.75">
      <c r="A225" s="7" t="s">
        <v>3602</v>
      </c>
      <c r="B225" s="8">
        <v>74</v>
      </c>
      <c r="C225" s="9" t="s">
        <v>3603</v>
      </c>
      <c r="D225" s="7">
        <v>2014</v>
      </c>
    </row>
    <row r="226" spans="1:4" ht="12.75">
      <c r="A226" s="27" t="s">
        <v>3604</v>
      </c>
      <c r="B226" s="28">
        <v>74</v>
      </c>
      <c r="C226" s="27"/>
      <c r="D226" s="27">
        <v>2017</v>
      </c>
    </row>
    <row r="227" spans="1:4" ht="12.75">
      <c r="A227" s="7" t="s">
        <v>3605</v>
      </c>
      <c r="B227" s="8">
        <v>62</v>
      </c>
      <c r="C227" s="9" t="s">
        <v>3606</v>
      </c>
      <c r="D227" s="7">
        <v>2016</v>
      </c>
    </row>
    <row r="228" spans="1:4" ht="12.75">
      <c r="A228" s="27" t="s">
        <v>3607</v>
      </c>
      <c r="B228" s="28">
        <v>53</v>
      </c>
      <c r="C228" s="29" t="s">
        <v>3606</v>
      </c>
      <c r="D228" s="27">
        <v>2016</v>
      </c>
    </row>
    <row r="229" spans="1:4" ht="12.75">
      <c r="A229" s="7" t="s">
        <v>3608</v>
      </c>
      <c r="B229" s="8">
        <v>42</v>
      </c>
      <c r="C229" s="7"/>
      <c r="D229" s="7">
        <v>2017</v>
      </c>
    </row>
    <row r="230" spans="1:4" ht="12.75">
      <c r="A230" s="27" t="s">
        <v>3609</v>
      </c>
      <c r="B230" s="28">
        <v>36</v>
      </c>
      <c r="C230" s="29" t="s">
        <v>3603</v>
      </c>
      <c r="D230" s="27">
        <v>2014</v>
      </c>
    </row>
    <row r="231" spans="1:4" ht="12.75">
      <c r="A231" s="7" t="s">
        <v>3610</v>
      </c>
      <c r="B231" s="8">
        <v>30</v>
      </c>
      <c r="C231" s="9" t="s">
        <v>3611</v>
      </c>
      <c r="D231" s="7">
        <v>2013</v>
      </c>
    </row>
    <row r="232" spans="1:4" ht="12.75">
      <c r="A232" s="27" t="s">
        <v>3612</v>
      </c>
      <c r="B232" s="28">
        <v>24</v>
      </c>
      <c r="C232" s="27"/>
      <c r="D232" s="27">
        <v>2017</v>
      </c>
    </row>
    <row r="233" spans="1:4" ht="12.75">
      <c r="A233" s="7" t="s">
        <v>3613</v>
      </c>
      <c r="B233" s="8">
        <v>24</v>
      </c>
      <c r="C233" s="9" t="s">
        <v>3606</v>
      </c>
      <c r="D233" s="7">
        <v>2016</v>
      </c>
    </row>
    <row r="234" spans="1:4" ht="12.75">
      <c r="A234" s="27" t="s">
        <v>3614</v>
      </c>
      <c r="B234" s="28">
        <v>24</v>
      </c>
      <c r="C234" s="29" t="s">
        <v>3611</v>
      </c>
      <c r="D234" s="27">
        <v>2013</v>
      </c>
    </row>
    <row r="235" spans="1:4" ht="12.75">
      <c r="A235" s="155"/>
      <c r="B235" s="156"/>
      <c r="C235" s="156"/>
      <c r="D235" s="161"/>
    </row>
    <row r="236" spans="1:4" ht="18">
      <c r="A236" s="112" t="str">
        <f>HYPERLINK("https://www.reddit.com/r/indieheads/comments/7yx2hf/top_ten_tuesday_two_door_cinema_club/","Two Door Cinema Club")</f>
        <v>Two Door Cinema Club</v>
      </c>
      <c r="B236" s="113">
        <v>43151</v>
      </c>
      <c r="C236" s="27"/>
      <c r="D236" s="27"/>
    </row>
    <row r="237" spans="1:4" ht="12.75">
      <c r="A237" s="114" t="s">
        <v>2</v>
      </c>
      <c r="B237" s="114" t="s">
        <v>3</v>
      </c>
      <c r="C237" s="114" t="s">
        <v>4</v>
      </c>
      <c r="D237" s="114" t="s">
        <v>5</v>
      </c>
    </row>
    <row r="238" spans="1:4" ht="12.75">
      <c r="A238" s="7" t="s">
        <v>3615</v>
      </c>
      <c r="B238" s="8">
        <v>191</v>
      </c>
      <c r="C238" s="9" t="str">
        <f t="shared" ref="C238:C243" si="18">HYPERLINK("https://en.wikipedia.org/wiki/Tourist_History","Tourist History")</f>
        <v>Tourist History</v>
      </c>
      <c r="D238" s="7">
        <v>2010</v>
      </c>
    </row>
    <row r="239" spans="1:4" ht="12.75">
      <c r="A239" s="27" t="s">
        <v>3616</v>
      </c>
      <c r="B239" s="28">
        <v>172</v>
      </c>
      <c r="C239" s="29" t="str">
        <f t="shared" si="18"/>
        <v>Tourist History</v>
      </c>
      <c r="D239" s="27">
        <v>2010</v>
      </c>
    </row>
    <row r="240" spans="1:4" ht="12.75">
      <c r="A240" s="7" t="s">
        <v>3617</v>
      </c>
      <c r="B240" s="8">
        <v>132</v>
      </c>
      <c r="C240" s="9" t="str">
        <f t="shared" si="18"/>
        <v>Tourist History</v>
      </c>
      <c r="D240" s="7">
        <v>2009</v>
      </c>
    </row>
    <row r="241" spans="1:4" ht="12.75">
      <c r="A241" s="27" t="s">
        <v>3618</v>
      </c>
      <c r="B241" s="28">
        <v>117</v>
      </c>
      <c r="C241" s="29" t="str">
        <f t="shared" si="18"/>
        <v>Tourist History</v>
      </c>
      <c r="D241" s="27">
        <v>2010</v>
      </c>
    </row>
    <row r="242" spans="1:4" ht="12.75">
      <c r="A242" s="7" t="s">
        <v>3619</v>
      </c>
      <c r="B242" s="8">
        <v>115</v>
      </c>
      <c r="C242" s="9" t="str">
        <f t="shared" si="18"/>
        <v>Tourist History</v>
      </c>
      <c r="D242" s="7">
        <v>2010</v>
      </c>
    </row>
    <row r="243" spans="1:4" ht="12.75">
      <c r="A243" s="27" t="s">
        <v>3620</v>
      </c>
      <c r="B243" s="28">
        <v>103</v>
      </c>
      <c r="C243" s="29" t="str">
        <f t="shared" si="18"/>
        <v>Tourist History</v>
      </c>
      <c r="D243" s="27">
        <v>2009</v>
      </c>
    </row>
    <row r="244" spans="1:4" ht="12.75">
      <c r="A244" s="7" t="s">
        <v>676</v>
      </c>
      <c r="B244" s="8">
        <v>101</v>
      </c>
      <c r="C244" s="9" t="str">
        <f t="shared" ref="C244:C245" si="19">HYPERLINK("https://en.wikipedia.org/wiki/Beacon_(album)","Beacon")</f>
        <v>Beacon</v>
      </c>
      <c r="D244" s="7">
        <v>2012</v>
      </c>
    </row>
    <row r="245" spans="1:4" ht="12.75">
      <c r="A245" s="27" t="s">
        <v>3621</v>
      </c>
      <c r="B245" s="28">
        <v>89</v>
      </c>
      <c r="C245" s="29" t="str">
        <f t="shared" si="19"/>
        <v>Beacon</v>
      </c>
      <c r="D245" s="27">
        <v>2012</v>
      </c>
    </row>
    <row r="246" spans="1:4" ht="12.75">
      <c r="A246" s="7" t="s">
        <v>3622</v>
      </c>
      <c r="B246" s="8">
        <v>88</v>
      </c>
      <c r="C246" s="9" t="str">
        <f>HYPERLINK("https://en.wikipedia.org/wiki/Changing_of_the_Seasons_(EP)","Changing of the Seasons EP")</f>
        <v>Changing of the Seasons EP</v>
      </c>
      <c r="D246" s="7">
        <v>2013</v>
      </c>
    </row>
    <row r="247" spans="1:4" ht="12.75">
      <c r="A247" s="27" t="s">
        <v>3623</v>
      </c>
      <c r="B247" s="28">
        <v>82</v>
      </c>
      <c r="C247" s="29" t="str">
        <f>HYPERLINK("https://en.wikipedia.org/wiki/Beacon_(album)","Beacon")</f>
        <v>Beacon</v>
      </c>
      <c r="D247" s="27">
        <v>2012</v>
      </c>
    </row>
    <row r="248" spans="1:4" ht="12.75">
      <c r="A248" s="155"/>
      <c r="B248" s="156"/>
      <c r="C248" s="156"/>
      <c r="D248" s="161"/>
    </row>
    <row r="249" spans="1:4" ht="18">
      <c r="A249" s="112" t="str">
        <f>HYPERLINK("https://www.reddit.com/r/indieheads/comments/5bwu5a/top_ten_tuesday_ty_segall/","Ty Segall")</f>
        <v>Ty Segall</v>
      </c>
      <c r="B249" s="113">
        <v>42377</v>
      </c>
      <c r="C249" s="27"/>
      <c r="D249" s="27"/>
    </row>
    <row r="250" spans="1:4" ht="12.75">
      <c r="A250" s="114" t="s">
        <v>2</v>
      </c>
      <c r="B250" s="114" t="s">
        <v>3</v>
      </c>
      <c r="C250" s="114" t="s">
        <v>4</v>
      </c>
      <c r="D250" s="114" t="s">
        <v>5</v>
      </c>
    </row>
    <row r="251" spans="1:4" ht="12.75">
      <c r="A251" s="7" t="s">
        <v>3624</v>
      </c>
      <c r="B251" s="8">
        <v>71</v>
      </c>
      <c r="C251" s="9" t="str">
        <f t="shared" ref="C251:C252" si="20">HYPERLINK("https://en.wikipedia.org/wiki/Melted","Melted")</f>
        <v>Melted</v>
      </c>
      <c r="D251" s="7">
        <v>2010</v>
      </c>
    </row>
    <row r="252" spans="1:4" ht="12.75">
      <c r="A252" s="27" t="s">
        <v>3625</v>
      </c>
      <c r="B252" s="28">
        <v>66</v>
      </c>
      <c r="C252" s="29" t="str">
        <f t="shared" si="20"/>
        <v>Melted</v>
      </c>
      <c r="D252" s="27">
        <v>2010</v>
      </c>
    </row>
    <row r="253" spans="1:4" ht="12.75">
      <c r="A253" s="7" t="s">
        <v>3626</v>
      </c>
      <c r="B253" s="8">
        <v>65</v>
      </c>
      <c r="C253" s="9" t="str">
        <f>HYPERLINK("https://en.wikipedia.org/wiki/Twins_(Ty_Segall_album)","Twins")</f>
        <v>Twins</v>
      </c>
      <c r="D253" s="7">
        <v>2012</v>
      </c>
    </row>
    <row r="254" spans="1:4" ht="12.75">
      <c r="A254" s="27" t="s">
        <v>392</v>
      </c>
      <c r="B254" s="28">
        <v>59</v>
      </c>
      <c r="C254" s="29" t="str">
        <f>HYPERLINK("https://en.wikipedia.org/wiki/Manipulator_(Ty_Segall_album)","Manipulator")</f>
        <v>Manipulator</v>
      </c>
      <c r="D254" s="27">
        <v>2014</v>
      </c>
    </row>
    <row r="255" spans="1:4" ht="12.75">
      <c r="A255" s="7" t="s">
        <v>3627</v>
      </c>
      <c r="B255" s="8">
        <v>38</v>
      </c>
      <c r="C255" s="9" t="str">
        <f>HYPERLINK("https://en.wikipedia.org/wiki/Slaughterhouse_(Ty_Segall_Band_album)","Slaughterhouse")</f>
        <v>Slaughterhouse</v>
      </c>
      <c r="D255" s="7">
        <v>2012</v>
      </c>
    </row>
    <row r="256" spans="1:4" ht="12.75">
      <c r="A256" s="27" t="s">
        <v>3628</v>
      </c>
      <c r="B256" s="28">
        <v>34</v>
      </c>
      <c r="C256" s="29" t="str">
        <f t="shared" ref="C256:C257" si="21">HYPERLINK("https://en.wikipedia.org/wiki/Melted","Melted")</f>
        <v>Melted</v>
      </c>
      <c r="D256" s="27">
        <v>2010</v>
      </c>
    </row>
    <row r="257" spans="1:4" ht="12.75">
      <c r="A257" s="7" t="s">
        <v>3629</v>
      </c>
      <c r="B257" s="8">
        <v>30</v>
      </c>
      <c r="C257" s="9" t="str">
        <f t="shared" si="21"/>
        <v>Melted</v>
      </c>
      <c r="D257" s="7">
        <v>2010</v>
      </c>
    </row>
    <row r="258" spans="1:4" ht="12.75">
      <c r="A258" s="27" t="s">
        <v>3630</v>
      </c>
      <c r="B258" s="28">
        <v>30</v>
      </c>
      <c r="C258" s="29" t="str">
        <f>HYPERLINK("https://en.wikipedia.org/wiki/Goodbye_Bread","Goodbye Bread")</f>
        <v>Goodbye Bread</v>
      </c>
      <c r="D258" s="27">
        <v>2011</v>
      </c>
    </row>
    <row r="259" spans="1:4" ht="12.75">
      <c r="A259" s="7" t="s">
        <v>3631</v>
      </c>
      <c r="B259" s="8">
        <v>28</v>
      </c>
      <c r="C259" s="9" t="str">
        <f>HYPERLINK("https://en.wikipedia.org/wiki/Slaughterhouse_(Ty_Segall_Band_album)","Slaughterhouse")</f>
        <v>Slaughterhouse</v>
      </c>
      <c r="D259" s="7">
        <v>2012</v>
      </c>
    </row>
    <row r="260" spans="1:4" ht="12.75">
      <c r="A260" s="27" t="s">
        <v>3632</v>
      </c>
      <c r="B260" s="28">
        <v>26</v>
      </c>
      <c r="C260" s="29" t="str">
        <f>HYPERLINK("https://en.wikipedia.org/wiki/Twins_(Ty_Segall_album)","Twins")</f>
        <v>Twins</v>
      </c>
      <c r="D260" s="27">
        <v>2012</v>
      </c>
    </row>
    <row r="261" spans="1:4" ht="12.75">
      <c r="A261" s="155"/>
      <c r="B261" s="156"/>
      <c r="C261" s="156"/>
      <c r="D261" s="161"/>
    </row>
    <row r="262" spans="1:4" ht="18">
      <c r="A262" s="112" t="str">
        <f>HYPERLINK("https://www.reddit.com/r/indieheads/comments/g13o9k/top_ten_tuesday_u2/","U2")</f>
        <v>U2</v>
      </c>
      <c r="B262" s="113">
        <v>43935</v>
      </c>
      <c r="C262" s="27"/>
      <c r="D262" s="116" t="s">
        <v>1</v>
      </c>
    </row>
    <row r="263" spans="1:4" ht="12.75">
      <c r="A263" s="114" t="s">
        <v>2</v>
      </c>
      <c r="B263" s="114" t="s">
        <v>3</v>
      </c>
      <c r="C263" s="114" t="s">
        <v>4</v>
      </c>
      <c r="D263" s="114" t="s">
        <v>5</v>
      </c>
    </row>
    <row r="264" spans="1:4" ht="12.75">
      <c r="A264" s="7" t="s">
        <v>3633</v>
      </c>
      <c r="B264" s="8">
        <v>387</v>
      </c>
      <c r="C264" s="9" t="str">
        <f>HYPERLINK("https://en.wikipedia.org/wiki/The_Joshua_Tree","The Joshua Tree")</f>
        <v>The Joshua Tree</v>
      </c>
      <c r="D264" s="7">
        <v>1987</v>
      </c>
    </row>
    <row r="265" spans="1:4" ht="12.75">
      <c r="A265" s="27" t="s">
        <v>3634</v>
      </c>
      <c r="B265" s="28">
        <v>233</v>
      </c>
      <c r="C265" s="29" t="str">
        <f>HYPERLINK("https://en.wikipedia.org/wiki/The_Unforgettable_Fire","The Unforgettable Fire")</f>
        <v>The Unforgettable Fire</v>
      </c>
      <c r="D265" s="27">
        <v>1984</v>
      </c>
    </row>
    <row r="266" spans="1:4" ht="12.75">
      <c r="A266" s="7" t="s">
        <v>3635</v>
      </c>
      <c r="B266" s="8">
        <v>205</v>
      </c>
      <c r="C266" s="9" t="str">
        <f>HYPERLINK("https://en.wikipedia.org/wiki/Achtung_Baby","Achtung Baby")</f>
        <v>Achtung Baby</v>
      </c>
      <c r="D266" s="7">
        <v>1991</v>
      </c>
    </row>
    <row r="267" spans="1:4" ht="12.75">
      <c r="A267" s="27" t="s">
        <v>3636</v>
      </c>
      <c r="B267" s="28">
        <v>204</v>
      </c>
      <c r="C267" s="29" t="str">
        <f>HYPERLINK("https://en.wikipedia.org/wiki/War_(U2_album)","War")</f>
        <v>War</v>
      </c>
      <c r="D267" s="27">
        <v>1983</v>
      </c>
    </row>
    <row r="268" spans="1:4" ht="12.75">
      <c r="A268" s="7" t="s">
        <v>3637</v>
      </c>
      <c r="B268" s="8">
        <v>183</v>
      </c>
      <c r="C268" s="9" t="str">
        <f>HYPERLINK("https://en.wikipedia.org/wiki/The_Joshua_Tree","The Joshua Tree")</f>
        <v>The Joshua Tree</v>
      </c>
      <c r="D268" s="7">
        <v>1987</v>
      </c>
    </row>
    <row r="269" spans="1:4" ht="12.75">
      <c r="A269" s="27" t="s">
        <v>3638</v>
      </c>
      <c r="B269" s="28">
        <v>167</v>
      </c>
      <c r="C269" s="29" t="str">
        <f>HYPERLINK("https://en.wikipedia.org/wiki/Zooropa","Zooropa")</f>
        <v>Zooropa</v>
      </c>
      <c r="D269" s="27">
        <v>1993</v>
      </c>
    </row>
    <row r="270" spans="1:4" ht="12.75">
      <c r="A270" s="7" t="s">
        <v>3639</v>
      </c>
      <c r="B270" s="8">
        <v>143</v>
      </c>
      <c r="C270" s="9" t="str">
        <f>HYPERLINK("https://en.wikipedia.org/wiki/War_(U2_album)","War")</f>
        <v>War</v>
      </c>
      <c r="D270" s="7">
        <v>1983</v>
      </c>
    </row>
    <row r="271" spans="1:4" ht="12.75">
      <c r="A271" s="27" t="s">
        <v>3640</v>
      </c>
      <c r="B271" s="28">
        <v>141</v>
      </c>
      <c r="C271" s="29" t="str">
        <f>HYPERLINK("https://en.wikipedia.org/wiki/The_Joshua_Tree","The Joshua Tree")</f>
        <v>The Joshua Tree</v>
      </c>
      <c r="D271" s="27">
        <v>1987</v>
      </c>
    </row>
    <row r="272" spans="1:4" ht="12.75">
      <c r="A272" s="7" t="s">
        <v>3641</v>
      </c>
      <c r="B272" s="8">
        <v>139</v>
      </c>
      <c r="C272" s="9" t="str">
        <f t="shared" ref="C272:C273" si="22">HYPERLINK("https://en.wikipedia.org/wiki/The_Unforgettable_Fire","The Unforgettable Fire")</f>
        <v>The Unforgettable Fire</v>
      </c>
      <c r="D272" s="7">
        <v>1984</v>
      </c>
    </row>
    <row r="273" spans="1:4" ht="12.75">
      <c r="A273" s="27" t="s">
        <v>3642</v>
      </c>
      <c r="B273" s="28">
        <v>111</v>
      </c>
      <c r="C273" s="29" t="str">
        <f t="shared" si="22"/>
        <v>The Unforgettable Fire</v>
      </c>
      <c r="D273" s="27">
        <v>1984</v>
      </c>
    </row>
    <row r="274" spans="1:4" ht="12.75">
      <c r="A274" s="155"/>
      <c r="B274" s="156"/>
      <c r="C274" s="156"/>
      <c r="D274" s="161"/>
    </row>
    <row r="275" spans="1:4" ht="18">
      <c r="A275" s="112" t="str">
        <f>HYPERLINK("https://www.reddit.com/r/indieheads/comments/8jnfd4/top_ten_tuesday_unknown_mortal_orchestra/","Unknown Mortal Orchestra")</f>
        <v>Unknown Mortal Orchestra</v>
      </c>
      <c r="B275" s="113">
        <v>43235</v>
      </c>
      <c r="C275" s="27"/>
      <c r="D275" s="27"/>
    </row>
    <row r="276" spans="1:4" ht="12.75">
      <c r="A276" s="114" t="s">
        <v>2</v>
      </c>
      <c r="B276" s="114" t="s">
        <v>3</v>
      </c>
      <c r="C276" s="114" t="s">
        <v>4</v>
      </c>
      <c r="D276" s="114" t="s">
        <v>5</v>
      </c>
    </row>
    <row r="277" spans="1:4" ht="12.75">
      <c r="A277" s="7" t="s">
        <v>3643</v>
      </c>
      <c r="B277" s="8">
        <v>148</v>
      </c>
      <c r="C277" s="9" t="str">
        <f>HYPERLINK("https://en.wikipedia.org/wiki/II_(Unknown_Mortal_Orchestra_album)","II")</f>
        <v>II</v>
      </c>
      <c r="D277" s="7">
        <v>2013</v>
      </c>
    </row>
    <row r="278" spans="1:4" ht="12.75">
      <c r="A278" s="27" t="s">
        <v>3644</v>
      </c>
      <c r="B278" s="28">
        <v>122</v>
      </c>
      <c r="C278" s="29" t="str">
        <f>HYPERLINK("https://en.wikipedia.org/wiki/Sex_%26_Food","Sex &amp; Food")</f>
        <v>Sex &amp; Food</v>
      </c>
      <c r="D278" s="27">
        <v>2018</v>
      </c>
    </row>
    <row r="279" spans="1:4" ht="12.75">
      <c r="A279" s="7" t="s">
        <v>3645</v>
      </c>
      <c r="B279" s="8">
        <v>116</v>
      </c>
      <c r="C279" s="9" t="str">
        <f t="shared" ref="C279:C280" si="23">HYPERLINK("https://en.wikipedia.org/wiki/Multi-Love","Multi-Love")</f>
        <v>Multi-Love</v>
      </c>
      <c r="D279" s="7">
        <v>2015</v>
      </c>
    </row>
    <row r="280" spans="1:4" ht="12.75">
      <c r="A280" s="27" t="s">
        <v>3646</v>
      </c>
      <c r="B280" s="28">
        <v>112</v>
      </c>
      <c r="C280" s="29" t="str">
        <f t="shared" si="23"/>
        <v>Multi-Love</v>
      </c>
      <c r="D280" s="27">
        <v>2015</v>
      </c>
    </row>
    <row r="281" spans="1:4" ht="12.75">
      <c r="A281" s="7" t="s">
        <v>3647</v>
      </c>
      <c r="B281" s="8">
        <v>91</v>
      </c>
      <c r="C281" s="9" t="str">
        <f t="shared" ref="C281:C282" si="24">HYPERLINK("https://en.wikipedia.org/wiki/II_(Unknown_Mortal_Orchestra_album)","II")</f>
        <v>II</v>
      </c>
      <c r="D281" s="7">
        <v>2013</v>
      </c>
    </row>
    <row r="282" spans="1:4" ht="12.75">
      <c r="A282" s="27" t="s">
        <v>3648</v>
      </c>
      <c r="B282" s="28">
        <v>76</v>
      </c>
      <c r="C282" s="29" t="str">
        <f t="shared" si="24"/>
        <v>II</v>
      </c>
      <c r="D282" s="27">
        <v>2013</v>
      </c>
    </row>
    <row r="283" spans="1:4" ht="12.75">
      <c r="A283" s="7" t="s">
        <v>3649</v>
      </c>
      <c r="B283" s="8">
        <v>76</v>
      </c>
      <c r="C283" s="9" t="str">
        <f>HYPERLINK("https://en.wikipedia.org/wiki/Unknown_Mortal_Orchestra_(album)","Unknown Mortal Orchestra")</f>
        <v>Unknown Mortal Orchestra</v>
      </c>
      <c r="D283" s="7">
        <v>2011</v>
      </c>
    </row>
    <row r="284" spans="1:4" ht="12.75">
      <c r="A284" s="27" t="s">
        <v>3650</v>
      </c>
      <c r="B284" s="28">
        <v>73</v>
      </c>
      <c r="C284" s="29" t="str">
        <f t="shared" ref="C284:C286" si="25">HYPERLINK("https://en.wikipedia.org/wiki/Multi-Love","Multi-Love")</f>
        <v>Multi-Love</v>
      </c>
      <c r="D284" s="27">
        <v>2015</v>
      </c>
    </row>
    <row r="285" spans="1:4" ht="12.75">
      <c r="A285" s="7" t="s">
        <v>3651</v>
      </c>
      <c r="B285" s="8">
        <v>70</v>
      </c>
      <c r="C285" s="9" t="str">
        <f t="shared" si="25"/>
        <v>Multi-Love</v>
      </c>
      <c r="D285" s="7">
        <v>2015</v>
      </c>
    </row>
    <row r="286" spans="1:4" ht="12.75">
      <c r="A286" s="27" t="s">
        <v>3652</v>
      </c>
      <c r="B286" s="28">
        <v>57</v>
      </c>
      <c r="C286" s="29" t="str">
        <f t="shared" si="25"/>
        <v>Multi-Love</v>
      </c>
      <c r="D286" s="27">
        <v>2015</v>
      </c>
    </row>
    <row r="287" spans="1:4" ht="12.75">
      <c r="A287" s="155"/>
      <c r="B287" s="156"/>
      <c r="C287" s="156"/>
      <c r="D287" s="161"/>
    </row>
    <row r="288" spans="1:4" ht="18">
      <c r="A288" s="112" t="s">
        <v>3653</v>
      </c>
      <c r="B288" s="113">
        <v>44040</v>
      </c>
      <c r="C288" s="27"/>
      <c r="D288" s="116" t="s">
        <v>1</v>
      </c>
    </row>
    <row r="289" spans="1:4" ht="12.75">
      <c r="A289" s="114" t="s">
        <v>2</v>
      </c>
      <c r="B289" s="114" t="s">
        <v>3</v>
      </c>
      <c r="C289" s="114" t="s">
        <v>4</v>
      </c>
      <c r="D289" s="114" t="s">
        <v>5</v>
      </c>
    </row>
    <row r="290" spans="1:4" ht="12.75">
      <c r="A290" s="7" t="s">
        <v>3654</v>
      </c>
      <c r="B290" s="8">
        <v>112</v>
      </c>
      <c r="C290" s="9" t="s">
        <v>3655</v>
      </c>
      <c r="D290" s="7">
        <v>2001</v>
      </c>
    </row>
    <row r="291" spans="1:4" ht="12.75">
      <c r="A291" s="27" t="s">
        <v>3656</v>
      </c>
      <c r="B291" s="28">
        <v>94</v>
      </c>
      <c r="C291" s="29" t="s">
        <v>3655</v>
      </c>
      <c r="D291" s="27">
        <v>2001</v>
      </c>
    </row>
    <row r="292" spans="1:4" ht="12.75">
      <c r="A292" s="7" t="s">
        <v>3657</v>
      </c>
      <c r="B292" s="8">
        <v>91</v>
      </c>
      <c r="C292" s="9" t="s">
        <v>3655</v>
      </c>
      <c r="D292" s="7">
        <v>2001</v>
      </c>
    </row>
    <row r="293" spans="1:4" ht="12.75">
      <c r="A293" s="27" t="s">
        <v>3658</v>
      </c>
      <c r="B293" s="28">
        <v>79</v>
      </c>
      <c r="C293" s="29" t="s">
        <v>3659</v>
      </c>
      <c r="D293" s="27">
        <v>1996</v>
      </c>
    </row>
    <row r="294" spans="1:4" ht="12.75">
      <c r="A294" s="7" t="s">
        <v>3660</v>
      </c>
      <c r="B294" s="8">
        <v>78</v>
      </c>
      <c r="C294" s="9" t="s">
        <v>3661</v>
      </c>
      <c r="D294" s="7">
        <v>1994</v>
      </c>
    </row>
    <row r="295" spans="1:4" ht="12.75">
      <c r="A295" s="27" t="s">
        <v>3662</v>
      </c>
      <c r="B295" s="28">
        <v>76</v>
      </c>
      <c r="C295" s="29" t="s">
        <v>3663</v>
      </c>
      <c r="D295" s="27">
        <v>1993</v>
      </c>
    </row>
    <row r="296" spans="1:4" ht="12.75">
      <c r="A296" s="7" t="s">
        <v>3664</v>
      </c>
      <c r="B296" s="8">
        <v>69</v>
      </c>
      <c r="C296" s="9" t="s">
        <v>3659</v>
      </c>
      <c r="D296" s="7">
        <v>1996</v>
      </c>
    </row>
    <row r="297" spans="1:4" ht="12.75">
      <c r="A297" s="27" t="s">
        <v>3665</v>
      </c>
      <c r="B297" s="28">
        <v>60</v>
      </c>
      <c r="C297" s="29" t="s">
        <v>3659</v>
      </c>
      <c r="D297" s="27">
        <v>1996</v>
      </c>
    </row>
    <row r="298" spans="1:4" ht="12.75">
      <c r="A298" s="7" t="s">
        <v>3666</v>
      </c>
      <c r="B298" s="8">
        <v>53</v>
      </c>
      <c r="C298" s="9" t="s">
        <v>3661</v>
      </c>
      <c r="D298" s="7">
        <v>1994</v>
      </c>
    </row>
    <row r="299" spans="1:4" ht="12.75">
      <c r="A299" s="27" t="s">
        <v>3667</v>
      </c>
      <c r="B299" s="28">
        <v>49</v>
      </c>
      <c r="C299" s="29" t="s">
        <v>3661</v>
      </c>
      <c r="D299" s="27">
        <v>1994</v>
      </c>
    </row>
    <row r="300" spans="1:4" ht="12.75">
      <c r="A300" s="155"/>
      <c r="B300" s="156"/>
      <c r="C300" s="156"/>
      <c r="D300" s="161"/>
    </row>
    <row r="301" spans="1:4" ht="18">
      <c r="A301" s="112" t="str">
        <f>HYPERLINK("https://www.reddit.com/r/indieheads/comments/d25vyk/top_ten_tuesday_the_vaccines/","The Vaccines")</f>
        <v>The Vaccines</v>
      </c>
      <c r="B301" s="113">
        <v>43718</v>
      </c>
      <c r="C301" s="27"/>
      <c r="D301" s="116" t="s">
        <v>1</v>
      </c>
    </row>
    <row r="302" spans="1:4" ht="12.75">
      <c r="A302" s="114" t="s">
        <v>2</v>
      </c>
      <c r="B302" s="114" t="s">
        <v>3</v>
      </c>
      <c r="C302" s="114" t="s">
        <v>4</v>
      </c>
      <c r="D302" s="114" t="s">
        <v>5</v>
      </c>
    </row>
    <row r="303" spans="1:4" ht="12.75">
      <c r="A303" s="7" t="s">
        <v>3668</v>
      </c>
      <c r="B303" s="8">
        <v>147</v>
      </c>
      <c r="C303" s="9" t="str">
        <f t="shared" ref="C303:C306" si="26">HYPERLINK("https://en.wikipedia.org/wiki/What_Did_You_Expect_from_The_Vaccines%3F","What Did You Expect from The Vaccines?")</f>
        <v>What Did You Expect from The Vaccines?</v>
      </c>
      <c r="D303" s="7">
        <v>2011</v>
      </c>
    </row>
    <row r="304" spans="1:4" ht="12.75">
      <c r="A304" s="27" t="s">
        <v>3669</v>
      </c>
      <c r="B304" s="28">
        <v>143</v>
      </c>
      <c r="C304" s="29" t="str">
        <f t="shared" si="26"/>
        <v>What Did You Expect from The Vaccines?</v>
      </c>
      <c r="D304" s="27">
        <v>2011</v>
      </c>
    </row>
    <row r="305" spans="1:4" ht="12.75">
      <c r="A305" s="7" t="s">
        <v>3670</v>
      </c>
      <c r="B305" s="8">
        <v>131</v>
      </c>
      <c r="C305" s="9" t="str">
        <f t="shared" si="26"/>
        <v>What Did You Expect from The Vaccines?</v>
      </c>
      <c r="D305" s="7">
        <v>2011</v>
      </c>
    </row>
    <row r="306" spans="1:4" ht="12.75">
      <c r="A306" s="27" t="s">
        <v>3671</v>
      </c>
      <c r="B306" s="28">
        <v>128</v>
      </c>
      <c r="C306" s="29" t="str">
        <f t="shared" si="26"/>
        <v>What Did You Expect from The Vaccines?</v>
      </c>
      <c r="D306" s="27">
        <v>2011</v>
      </c>
    </row>
    <row r="307" spans="1:4" ht="12.75">
      <c r="A307" s="7" t="s">
        <v>3672</v>
      </c>
      <c r="B307" s="8">
        <v>113</v>
      </c>
      <c r="C307" s="9" t="str">
        <f>HYPERLINK("https://en.wikipedia.org/wiki/Come_of_Age","Come of Age")</f>
        <v>Come of Age</v>
      </c>
      <c r="D307" s="7">
        <v>2012</v>
      </c>
    </row>
    <row r="308" spans="1:4" ht="12.75">
      <c r="A308" s="27" t="s">
        <v>3673</v>
      </c>
      <c r="B308" s="28">
        <v>100</v>
      </c>
      <c r="C308" s="29" t="str">
        <f t="shared" ref="C308:C309" si="27">HYPERLINK("https://en.wikipedia.org/wiki/What_Did_You_Expect_from_The_Vaccines%3F","What Did You Expect from The Vaccines?")</f>
        <v>What Did You Expect from The Vaccines?</v>
      </c>
      <c r="D308" s="27">
        <v>2011</v>
      </c>
    </row>
    <row r="309" spans="1:4" ht="12.75">
      <c r="A309" s="7" t="s">
        <v>3674</v>
      </c>
      <c r="B309" s="8">
        <v>93</v>
      </c>
      <c r="C309" s="9" t="str">
        <f t="shared" si="27"/>
        <v>What Did You Expect from The Vaccines?</v>
      </c>
      <c r="D309" s="7">
        <v>2011</v>
      </c>
    </row>
    <row r="310" spans="1:4" ht="12.75">
      <c r="A310" s="27" t="s">
        <v>3675</v>
      </c>
      <c r="B310" s="28">
        <v>87</v>
      </c>
      <c r="C310" s="29" t="str">
        <f t="shared" ref="C310:C311" si="28">HYPERLINK("https://en.wikipedia.org/wiki/Come_of_Age","Come of Age")</f>
        <v>Come of Age</v>
      </c>
      <c r="D310" s="27">
        <v>2012</v>
      </c>
    </row>
    <row r="311" spans="1:4" ht="12.75">
      <c r="A311" s="7" t="s">
        <v>3676</v>
      </c>
      <c r="B311" s="8">
        <v>62</v>
      </c>
      <c r="C311" s="9" t="str">
        <f t="shared" si="28"/>
        <v>Come of Age</v>
      </c>
      <c r="D311" s="7">
        <v>2012</v>
      </c>
    </row>
    <row r="312" spans="1:4" ht="12.75">
      <c r="A312" s="27" t="s">
        <v>3677</v>
      </c>
      <c r="B312" s="28">
        <v>50</v>
      </c>
      <c r="C312" s="29" t="str">
        <f>HYPERLINK("https://en.wikipedia.org/wiki/English_Graffiti","English Graffiti")</f>
        <v>English Graffiti</v>
      </c>
      <c r="D312" s="27">
        <v>2015</v>
      </c>
    </row>
    <row r="313" spans="1:4" ht="12.75">
      <c r="A313" s="155"/>
      <c r="B313" s="156"/>
      <c r="C313" s="156"/>
      <c r="D313" s="161"/>
    </row>
    <row r="314" spans="1:4" ht="18">
      <c r="A314" s="112" t="str">
        <f>HYPERLINK("https://www.reddit.com/r/indieheads/comments/cz3azh/top_ten_tuesday_vampire_weekend/","Vampire Weekend")</f>
        <v>Vampire Weekend</v>
      </c>
      <c r="B314" s="115">
        <v>43711</v>
      </c>
      <c r="C314" s="27"/>
      <c r="D314" s="116" t="s">
        <v>1</v>
      </c>
    </row>
    <row r="315" spans="1:4" ht="12.75">
      <c r="A315" s="114" t="s">
        <v>2</v>
      </c>
      <c r="B315" s="114" t="s">
        <v>3</v>
      </c>
      <c r="C315" s="114" t="s">
        <v>4</v>
      </c>
      <c r="D315" s="114" t="s">
        <v>5</v>
      </c>
    </row>
    <row r="316" spans="1:4" ht="12.75">
      <c r="A316" s="7" t="s">
        <v>3678</v>
      </c>
      <c r="B316" s="8">
        <v>2221</v>
      </c>
      <c r="C316" s="9" t="str">
        <f t="shared" ref="C316:C317" si="29">HYPERLINK("http://en.wikipedia.org/wiki/Modern_Vampires_of_the_City","Modern Vampires of the City")</f>
        <v>Modern Vampires of the City</v>
      </c>
      <c r="D316" s="7">
        <v>2013</v>
      </c>
    </row>
    <row r="317" spans="1:4" ht="12.75">
      <c r="A317" s="27" t="s">
        <v>3679</v>
      </c>
      <c r="B317" s="28">
        <v>1699</v>
      </c>
      <c r="C317" s="29" t="str">
        <f t="shared" si="29"/>
        <v>Modern Vampires of the City</v>
      </c>
      <c r="D317" s="27">
        <v>2013</v>
      </c>
    </row>
    <row r="318" spans="1:4" ht="12.75">
      <c r="A318" s="7" t="s">
        <v>3680</v>
      </c>
      <c r="B318" s="8">
        <v>1161</v>
      </c>
      <c r="C318" s="9" t="str">
        <f t="shared" ref="C318:C319" si="30">HYPERLINK("http://en.wikipedia.org/wiki/Vampire_Weekend_(album)","Vampire Weekend")</f>
        <v>Vampire Weekend</v>
      </c>
      <c r="D318" s="7">
        <v>2008</v>
      </c>
    </row>
    <row r="319" spans="1:4" ht="12.75">
      <c r="A319" s="10" t="s">
        <v>3681</v>
      </c>
      <c r="B319" s="11">
        <v>1158</v>
      </c>
      <c r="C319" s="12" t="str">
        <f t="shared" si="30"/>
        <v>Vampire Weekend</v>
      </c>
      <c r="D319" s="10">
        <v>2008</v>
      </c>
    </row>
    <row r="320" spans="1:4" ht="12.75">
      <c r="A320" s="7" t="s">
        <v>3682</v>
      </c>
      <c r="B320" s="8">
        <v>1082</v>
      </c>
      <c r="C320" s="9" t="str">
        <f>HYPERLINK("http://en.wikipedia.org/wiki/Modern_Vampires_of_the_City","Modern Vampires of the City")</f>
        <v>Modern Vampires of the City</v>
      </c>
      <c r="D320" s="7">
        <v>2013</v>
      </c>
    </row>
    <row r="321" spans="1:4" ht="12.75">
      <c r="A321" s="10" t="s">
        <v>3683</v>
      </c>
      <c r="B321" s="11">
        <v>1055</v>
      </c>
      <c r="C321" s="12" t="str">
        <f>HYPERLINK("https://en.wikipedia.org/wiki/Contra_(album)","Contra")</f>
        <v>Contra</v>
      </c>
      <c r="D321" s="10">
        <v>2010</v>
      </c>
    </row>
    <row r="322" spans="1:4" ht="12.75">
      <c r="A322" s="7" t="s">
        <v>3684</v>
      </c>
      <c r="B322" s="8">
        <v>972</v>
      </c>
      <c r="C322" s="9" t="str">
        <f>HYPERLINK("http://en.wikipedia.org/wiki/Modern_Vampires_of_the_City","Modern Vampires of the City")</f>
        <v>Modern Vampires of the City</v>
      </c>
      <c r="D322" s="7">
        <v>2013</v>
      </c>
    </row>
    <row r="323" spans="1:4" ht="12.75">
      <c r="A323" s="27" t="s">
        <v>3685</v>
      </c>
      <c r="B323" s="28">
        <v>831</v>
      </c>
      <c r="C323" s="29" t="str">
        <f>HYPERLINK("http://en.wikipedia.org/wiki/Contra_(album)","Contra")</f>
        <v>Contra</v>
      </c>
      <c r="D323" s="27">
        <v>2010</v>
      </c>
    </row>
    <row r="324" spans="1:4" ht="12.75">
      <c r="A324" s="7" t="s">
        <v>3686</v>
      </c>
      <c r="B324" s="8">
        <v>821</v>
      </c>
      <c r="C324" s="9" t="str">
        <f>HYPERLINK("https://en.wikipedia.org/wiki/Contra_(album)","Father of the Bride")</f>
        <v>Father of the Bride</v>
      </c>
      <c r="D324" s="7">
        <v>2019</v>
      </c>
    </row>
    <row r="325" spans="1:4" ht="12.75">
      <c r="A325" s="27" t="s">
        <v>3687</v>
      </c>
      <c r="B325" s="28">
        <v>795</v>
      </c>
      <c r="C325" s="29" t="str">
        <f>HYPERLINK("http://en.wikipedia.org/wiki/Modern_Vampires_of_the_City","Modern Vampires of the City")</f>
        <v>Modern Vampires of the City</v>
      </c>
      <c r="D325" s="27">
        <v>2013</v>
      </c>
    </row>
    <row r="326" spans="1:4" ht="12.75">
      <c r="A326" s="155"/>
      <c r="B326" s="156"/>
      <c r="C326" s="156"/>
      <c r="D326" s="161"/>
    </row>
    <row r="327" spans="1:4" ht="18">
      <c r="A327" s="122" t="s">
        <v>3688</v>
      </c>
      <c r="B327" s="23">
        <v>44966</v>
      </c>
      <c r="C327" s="24"/>
      <c r="D327" s="32"/>
    </row>
    <row r="328" spans="1:4" ht="12.75">
      <c r="A328" s="26" t="s">
        <v>2</v>
      </c>
      <c r="B328" s="26" t="s">
        <v>3</v>
      </c>
      <c r="C328" s="26" t="s">
        <v>4</v>
      </c>
      <c r="D328" s="26" t="s">
        <v>5</v>
      </c>
    </row>
    <row r="329" spans="1:4" ht="12.75">
      <c r="A329" s="19" t="s">
        <v>3689</v>
      </c>
      <c r="B329" s="8">
        <v>372</v>
      </c>
      <c r="C329" s="19" t="s">
        <v>3690</v>
      </c>
      <c r="D329" s="7">
        <v>1967</v>
      </c>
    </row>
    <row r="330" spans="1:4" ht="12.75">
      <c r="A330" s="35" t="s">
        <v>3691</v>
      </c>
      <c r="B330" s="28">
        <v>267</v>
      </c>
      <c r="C330" s="35" t="s">
        <v>3690</v>
      </c>
      <c r="D330" s="27">
        <v>1967</v>
      </c>
    </row>
    <row r="331" spans="1:4" ht="12.75">
      <c r="A331" s="19" t="s">
        <v>3692</v>
      </c>
      <c r="B331" s="8">
        <v>252</v>
      </c>
      <c r="C331" s="19" t="s">
        <v>3690</v>
      </c>
      <c r="D331" s="7">
        <v>1967</v>
      </c>
    </row>
    <row r="332" spans="1:4" ht="12.75">
      <c r="A332" s="35" t="s">
        <v>3693</v>
      </c>
      <c r="B332" s="28">
        <v>251</v>
      </c>
      <c r="C332" s="35" t="s">
        <v>3690</v>
      </c>
      <c r="D332" s="27">
        <v>1967</v>
      </c>
    </row>
    <row r="333" spans="1:4" ht="12.75">
      <c r="A333" s="19" t="s">
        <v>3694</v>
      </c>
      <c r="B333" s="8">
        <v>195</v>
      </c>
      <c r="C333" s="19" t="s">
        <v>3688</v>
      </c>
      <c r="D333" s="7">
        <v>1969</v>
      </c>
    </row>
    <row r="334" spans="1:4" ht="12.75">
      <c r="A334" s="35" t="s">
        <v>3695</v>
      </c>
      <c r="B334" s="28">
        <v>191</v>
      </c>
      <c r="C334" s="35" t="s">
        <v>3696</v>
      </c>
      <c r="D334" s="27">
        <v>1968</v>
      </c>
    </row>
    <row r="335" spans="1:4" ht="12.75">
      <c r="A335" s="19" t="s">
        <v>3697</v>
      </c>
      <c r="B335" s="8">
        <v>157</v>
      </c>
      <c r="C335" s="19" t="s">
        <v>2914</v>
      </c>
      <c r="D335" s="7">
        <v>1970</v>
      </c>
    </row>
    <row r="336" spans="1:4" ht="12.75">
      <c r="A336" s="35" t="s">
        <v>3698</v>
      </c>
      <c r="B336" s="28">
        <v>150</v>
      </c>
      <c r="C336" s="35" t="s">
        <v>3690</v>
      </c>
      <c r="D336" s="27">
        <v>1967</v>
      </c>
    </row>
    <row r="337" spans="1:4" ht="12.75">
      <c r="A337" s="19" t="s">
        <v>3699</v>
      </c>
      <c r="B337" s="8">
        <v>122</v>
      </c>
      <c r="C337" s="19" t="s">
        <v>3688</v>
      </c>
      <c r="D337" s="7">
        <v>1969</v>
      </c>
    </row>
    <row r="338" spans="1:4" ht="12.75">
      <c r="A338" s="35" t="s">
        <v>3700</v>
      </c>
      <c r="B338" s="28">
        <v>115</v>
      </c>
      <c r="C338" s="35" t="s">
        <v>3696</v>
      </c>
      <c r="D338" s="27">
        <v>1968</v>
      </c>
    </row>
    <row r="339" spans="1:4" ht="12.75">
      <c r="A339" s="155"/>
      <c r="B339" s="156"/>
      <c r="C339" s="156"/>
      <c r="D339" s="161"/>
    </row>
    <row r="340" spans="1:4" ht="18">
      <c r="A340" s="112" t="str">
        <f>HYPERLINK("https://old.reddit.com/r/indieheads/comments/b8ibu6/top_ten_tuesday_the_walkmen/","The Walkmen")</f>
        <v>The Walkmen</v>
      </c>
      <c r="B340" s="113">
        <v>43557</v>
      </c>
      <c r="C340" s="27"/>
      <c r="D340" s="116" t="s">
        <v>1</v>
      </c>
    </row>
    <row r="341" spans="1:4" ht="12.75">
      <c r="A341" s="114" t="s">
        <v>2</v>
      </c>
      <c r="B341" s="114" t="s">
        <v>3</v>
      </c>
      <c r="C341" s="114" t="s">
        <v>4</v>
      </c>
      <c r="D341" s="114" t="s">
        <v>5</v>
      </c>
    </row>
    <row r="342" spans="1:4" ht="12.75">
      <c r="A342" s="7" t="s">
        <v>3701</v>
      </c>
      <c r="B342" s="8">
        <v>177</v>
      </c>
      <c r="C342" s="9" t="str">
        <f>HYPERLINK("https://en.wikipedia.org/wiki/Bows_%2B_Arrows","Bows + Arrows")</f>
        <v>Bows + Arrows</v>
      </c>
      <c r="D342" s="7">
        <v>2004</v>
      </c>
    </row>
    <row r="343" spans="1:4" ht="12.75">
      <c r="A343" s="27" t="s">
        <v>3702</v>
      </c>
      <c r="B343" s="28">
        <v>127</v>
      </c>
      <c r="C343" s="29" t="str">
        <f>HYPERLINK("https://en.wikipedia.org/wiki/Everyone_Who_Pretended_to_Like_Me_Is_Gone","Everyone Who Pretended to Like Me Is Gone")</f>
        <v>Everyone Who Pretended to Like Me Is Gone</v>
      </c>
      <c r="D343" s="27">
        <v>2002</v>
      </c>
    </row>
    <row r="344" spans="1:4" ht="12.75">
      <c r="A344" s="7" t="s">
        <v>3703</v>
      </c>
      <c r="B344" s="8">
        <v>102</v>
      </c>
      <c r="C344" s="9" t="str">
        <f>HYPERLINK("https://en.wikipedia.org/wiki/You_%26_Me_(The_Walkmen_album)","You &amp; Me")</f>
        <v>You &amp; Me</v>
      </c>
      <c r="D344" s="7">
        <v>2008</v>
      </c>
    </row>
    <row r="345" spans="1:4" ht="12.75">
      <c r="A345" s="27" t="s">
        <v>3704</v>
      </c>
      <c r="B345" s="28">
        <v>83</v>
      </c>
      <c r="C345" s="29" t="str">
        <f>HYPERLINK("https://en.wikipedia.org/wiki/Lisbon_(album)","Lisbon")</f>
        <v>Lisbon</v>
      </c>
      <c r="D345" s="27">
        <v>2010</v>
      </c>
    </row>
    <row r="346" spans="1:4" ht="12.75">
      <c r="A346" s="7" t="s">
        <v>3705</v>
      </c>
      <c r="B346" s="8">
        <v>76</v>
      </c>
      <c r="C346" s="9" t="str">
        <f t="shared" ref="C346:C347" si="31">HYPERLINK("https://en.wikipedia.org/wiki/Heaven_(The_Walkmen_album)","Heaven")</f>
        <v>Heaven</v>
      </c>
      <c r="D346" s="7">
        <v>2012</v>
      </c>
    </row>
    <row r="347" spans="1:4" ht="12.75">
      <c r="A347" s="27" t="s">
        <v>1861</v>
      </c>
      <c r="B347" s="28">
        <v>60</v>
      </c>
      <c r="C347" s="29" t="str">
        <f t="shared" si="31"/>
        <v>Heaven</v>
      </c>
      <c r="D347" s="27">
        <v>2012</v>
      </c>
    </row>
    <row r="348" spans="1:4" ht="12.75">
      <c r="A348" s="7" t="s">
        <v>3706</v>
      </c>
      <c r="B348" s="8">
        <v>58</v>
      </c>
      <c r="C348" s="9" t="str">
        <f>HYPERLINK("https://en.wikipedia.org/wiki/Bows_%2B_Arrows","Bows + Arrows")</f>
        <v>Bows + Arrows</v>
      </c>
      <c r="D348" s="7">
        <v>2004</v>
      </c>
    </row>
    <row r="349" spans="1:4" ht="12.75">
      <c r="A349" s="27" t="s">
        <v>3707</v>
      </c>
      <c r="B349" s="28">
        <v>55</v>
      </c>
      <c r="C349" s="29" t="str">
        <f t="shared" ref="C349:C350" si="32">HYPERLINK("https://en.wikipedia.org/wiki/Lisbon_(album)","Lisbon")</f>
        <v>Lisbon</v>
      </c>
      <c r="D349" s="27">
        <v>2010</v>
      </c>
    </row>
    <row r="350" spans="1:4" ht="12.75">
      <c r="A350" s="7" t="s">
        <v>3708</v>
      </c>
      <c r="B350" s="8">
        <v>48</v>
      </c>
      <c r="C350" s="9" t="str">
        <f t="shared" si="32"/>
        <v>Lisbon</v>
      </c>
      <c r="D350" s="7">
        <v>2010</v>
      </c>
    </row>
    <row r="351" spans="1:4" ht="12.75">
      <c r="A351" s="27" t="s">
        <v>172</v>
      </c>
      <c r="B351" s="28">
        <v>41</v>
      </c>
      <c r="C351" s="29" t="str">
        <f>HYPERLINK("https://en.wikipedia.org/wiki/Everyone_Who_Pretended_to_Like_Me_Is_Gone","Everyone Who Pretended to Like Me Is Gone")</f>
        <v>Everyone Who Pretended to Like Me Is Gone</v>
      </c>
      <c r="D351" s="27">
        <v>2002</v>
      </c>
    </row>
    <row r="352" spans="1:4" ht="12.75">
      <c r="A352" s="155"/>
      <c r="B352" s="156"/>
      <c r="C352" s="156"/>
      <c r="D352" s="161"/>
    </row>
    <row r="353" spans="1:4" ht="18">
      <c r="A353" s="112" t="s">
        <v>3709</v>
      </c>
      <c r="B353" s="113">
        <v>44621</v>
      </c>
      <c r="C353" s="27"/>
      <c r="D353" s="116" t="s">
        <v>1</v>
      </c>
    </row>
    <row r="354" spans="1:4" ht="12.75">
      <c r="A354" s="114" t="s">
        <v>2</v>
      </c>
      <c r="B354" s="114" t="s">
        <v>3</v>
      </c>
      <c r="C354" s="114" t="s">
        <v>4</v>
      </c>
      <c r="D354" s="114" t="s">
        <v>5</v>
      </c>
    </row>
    <row r="355" spans="1:4" ht="12.75">
      <c r="A355" s="7" t="s">
        <v>3710</v>
      </c>
      <c r="B355" s="8">
        <v>433</v>
      </c>
      <c r="C355" s="9" t="str">
        <f t="shared" ref="C355:C356" si="33">HYPERLINK("https://en.wikipedia.org/wiki/Lost_in_the_Dream","Lost in the Dream")</f>
        <v>Lost in the Dream</v>
      </c>
      <c r="D355" s="7">
        <v>2014</v>
      </c>
    </row>
    <row r="356" spans="1:4" ht="12.75">
      <c r="A356" s="27" t="s">
        <v>3711</v>
      </c>
      <c r="B356" s="28">
        <v>398</v>
      </c>
      <c r="C356" s="29" t="str">
        <f t="shared" si="33"/>
        <v>Lost in the Dream</v>
      </c>
      <c r="D356" s="27">
        <v>2014</v>
      </c>
    </row>
    <row r="357" spans="1:4" ht="12.75">
      <c r="A357" s="7" t="s">
        <v>3712</v>
      </c>
      <c r="B357" s="8">
        <v>374</v>
      </c>
      <c r="C357" s="9" t="s">
        <v>3713</v>
      </c>
      <c r="D357" s="7">
        <v>2017</v>
      </c>
    </row>
    <row r="358" spans="1:4" ht="12.75">
      <c r="A358" s="10" t="s">
        <v>3714</v>
      </c>
      <c r="B358" s="11">
        <v>346</v>
      </c>
      <c r="C358" s="12" t="str">
        <f>HYPERLINK("https://en.wikipedia.org/wiki/Lost_in_the_Dream","Lost in the Dream")</f>
        <v>Lost in the Dream</v>
      </c>
      <c r="D358" s="10">
        <v>2014</v>
      </c>
    </row>
    <row r="359" spans="1:4" ht="12.75">
      <c r="A359" s="7" t="s">
        <v>3715</v>
      </c>
      <c r="B359" s="8">
        <v>336</v>
      </c>
      <c r="C359" s="9" t="s">
        <v>3713</v>
      </c>
      <c r="D359" s="7">
        <v>2017</v>
      </c>
    </row>
    <row r="360" spans="1:4" ht="12.75">
      <c r="A360" s="27" t="s">
        <v>3716</v>
      </c>
      <c r="B360" s="28">
        <v>317</v>
      </c>
      <c r="C360" s="12" t="s">
        <v>3713</v>
      </c>
      <c r="D360" s="10">
        <v>2017</v>
      </c>
    </row>
    <row r="361" spans="1:4" ht="12.75">
      <c r="A361" s="7" t="s">
        <v>3717</v>
      </c>
      <c r="B361" s="8">
        <v>219</v>
      </c>
      <c r="C361" s="9" t="s">
        <v>3717</v>
      </c>
      <c r="D361" s="7">
        <v>2021</v>
      </c>
    </row>
    <row r="362" spans="1:4" ht="12.75">
      <c r="A362" s="27" t="s">
        <v>3718</v>
      </c>
      <c r="B362" s="28">
        <v>199</v>
      </c>
      <c r="C362" s="12" t="s">
        <v>3717</v>
      </c>
      <c r="D362" s="10">
        <v>2021</v>
      </c>
    </row>
    <row r="363" spans="1:4" ht="12.75">
      <c r="A363" s="7" t="s">
        <v>3719</v>
      </c>
      <c r="B363" s="8">
        <v>188</v>
      </c>
      <c r="C363" s="9" t="str">
        <f t="shared" ref="C363:C364" si="34">HYPERLINK("https://en.wikipedia.org/wiki/Lost_in_the_Dream","Lost in the Dream")</f>
        <v>Lost in the Dream</v>
      </c>
      <c r="D363" s="7">
        <v>2014</v>
      </c>
    </row>
    <row r="364" spans="1:4" ht="12.75">
      <c r="A364" s="10" t="s">
        <v>3720</v>
      </c>
      <c r="B364" s="11">
        <v>150</v>
      </c>
      <c r="C364" s="12" t="str">
        <f t="shared" si="34"/>
        <v>Lost in the Dream</v>
      </c>
      <c r="D364" s="10">
        <v>2014</v>
      </c>
    </row>
    <row r="365" spans="1:4" ht="12.75">
      <c r="A365" s="155"/>
      <c r="B365" s="156"/>
      <c r="C365" s="156"/>
      <c r="D365" s="161"/>
    </row>
    <row r="366" spans="1:4" ht="18">
      <c r="A366" s="112" t="str">
        <f>HYPERLINK("https://www.reddit.com/r/indieheads/comments/9941nr/top_ten_tuesday_washed_out/","Washed Out")</f>
        <v>Washed Out</v>
      </c>
      <c r="B366" s="113">
        <v>43333</v>
      </c>
      <c r="C366" s="27"/>
      <c r="D366" s="116" t="s">
        <v>1</v>
      </c>
    </row>
    <row r="367" spans="1:4" ht="12.75">
      <c r="A367" s="114" t="s">
        <v>2</v>
      </c>
      <c r="B367" s="114" t="s">
        <v>3</v>
      </c>
      <c r="C367" s="114" t="s">
        <v>4</v>
      </c>
      <c r="D367" s="114" t="s">
        <v>5</v>
      </c>
    </row>
    <row r="368" spans="1:4" ht="12.75">
      <c r="A368" s="7" t="s">
        <v>3721</v>
      </c>
      <c r="B368" s="8">
        <v>187</v>
      </c>
      <c r="C368" s="9" t="str">
        <f t="shared" ref="C368:C369" si="35">HYPERLINK("https://en.wikipedia.org/wiki/Life_of_Leisure","Life of Leisure")</f>
        <v>Life of Leisure</v>
      </c>
      <c r="D368" s="7">
        <v>2009</v>
      </c>
    </row>
    <row r="369" spans="1:4" ht="12.75">
      <c r="A369" s="27" t="s">
        <v>3722</v>
      </c>
      <c r="B369" s="28">
        <v>122</v>
      </c>
      <c r="C369" s="29" t="str">
        <f t="shared" si="35"/>
        <v>Life of Leisure</v>
      </c>
      <c r="D369" s="27">
        <v>2009</v>
      </c>
    </row>
    <row r="370" spans="1:4" ht="12.75">
      <c r="A370" s="7" t="s">
        <v>3723</v>
      </c>
      <c r="B370" s="8">
        <v>100</v>
      </c>
      <c r="C370" s="9" t="str">
        <f t="shared" ref="C370:C372" si="36">HYPERLINK("https://en.wikipedia.org/wiki/Within_and_Without_(album)","Within and Without")</f>
        <v>Within and Without</v>
      </c>
      <c r="D370" s="7">
        <v>2011</v>
      </c>
    </row>
    <row r="371" spans="1:4" ht="12.75">
      <c r="A371" s="27" t="s">
        <v>3724</v>
      </c>
      <c r="B371" s="28">
        <v>91</v>
      </c>
      <c r="C371" s="29" t="str">
        <f t="shared" si="36"/>
        <v>Within and Without</v>
      </c>
      <c r="D371" s="27">
        <v>2011</v>
      </c>
    </row>
    <row r="372" spans="1:4" ht="12.75">
      <c r="A372" s="7" t="s">
        <v>3725</v>
      </c>
      <c r="B372" s="8">
        <v>81</v>
      </c>
      <c r="C372" s="9" t="str">
        <f t="shared" si="36"/>
        <v>Within and Without</v>
      </c>
      <c r="D372" s="7">
        <v>2011</v>
      </c>
    </row>
    <row r="373" spans="1:4" ht="12.75">
      <c r="A373" s="27" t="s">
        <v>3726</v>
      </c>
      <c r="B373" s="28">
        <v>75</v>
      </c>
      <c r="C373" s="29" t="str">
        <f>HYPERLINK("https://en.wikipedia.org/wiki/Paracosm_(album)","Paracosm")</f>
        <v>Paracosm</v>
      </c>
      <c r="D373" s="27">
        <v>2013</v>
      </c>
    </row>
    <row r="374" spans="1:4" ht="12.75">
      <c r="A374" s="7" t="s">
        <v>3727</v>
      </c>
      <c r="B374" s="8">
        <v>68</v>
      </c>
      <c r="C374" s="9" t="str">
        <f>HYPERLINK("https://en.wikipedia.org/wiki/Within_and_Without_(album)","Within and Without")</f>
        <v>Within and Without</v>
      </c>
      <c r="D374" s="7">
        <v>2011</v>
      </c>
    </row>
    <row r="375" spans="1:4" ht="12.75">
      <c r="A375" s="27" t="s">
        <v>3728</v>
      </c>
      <c r="B375" s="28">
        <v>52</v>
      </c>
      <c r="C375" s="29" t="str">
        <f t="shared" ref="C375:C376" si="37">HYPERLINK("https://en.wikipedia.org/wiki/Paracosm_(album)","Paracosm")</f>
        <v>Paracosm</v>
      </c>
      <c r="D375" s="27">
        <v>2013</v>
      </c>
    </row>
    <row r="376" spans="1:4" ht="12.75">
      <c r="A376" s="7" t="s">
        <v>3729</v>
      </c>
      <c r="B376" s="8">
        <v>49</v>
      </c>
      <c r="C376" s="9" t="str">
        <f t="shared" si="37"/>
        <v>Paracosm</v>
      </c>
      <c r="D376" s="7">
        <v>2013</v>
      </c>
    </row>
    <row r="377" spans="1:4" ht="12.75">
      <c r="A377" s="27" t="s">
        <v>3730</v>
      </c>
      <c r="B377" s="28">
        <v>49</v>
      </c>
      <c r="C377" s="29" t="str">
        <f>HYPERLINK("https://en.wikipedia.org/wiki/Within_and_Without_(album)","Within and Without")</f>
        <v>Within and Without</v>
      </c>
      <c r="D377" s="27">
        <v>2011</v>
      </c>
    </row>
    <row r="378" spans="1:4" ht="12.75">
      <c r="A378" s="155"/>
      <c r="B378" s="156"/>
      <c r="C378" s="156"/>
      <c r="D378" s="161"/>
    </row>
    <row r="379" spans="1:4" ht="18">
      <c r="A379" s="112" t="str">
        <f>HYPERLINK("https://www.reddit.com/r/indieheads/comments/8vrwn0/top_ten_tuesday_wavves/","Wavves")</f>
        <v>Wavves</v>
      </c>
      <c r="B379" s="113">
        <v>43284</v>
      </c>
      <c r="C379" s="27"/>
      <c r="D379" s="116" t="s">
        <v>1</v>
      </c>
    </row>
    <row r="380" spans="1:4" ht="12.75">
      <c r="A380" s="114" t="s">
        <v>2</v>
      </c>
      <c r="B380" s="114" t="s">
        <v>3</v>
      </c>
      <c r="C380" s="114" t="s">
        <v>4</v>
      </c>
      <c r="D380" s="114" t="s">
        <v>5</v>
      </c>
    </row>
    <row r="381" spans="1:4" ht="12.75">
      <c r="A381" s="7" t="s">
        <v>1706</v>
      </c>
      <c r="B381" s="8">
        <v>98</v>
      </c>
      <c r="C381" s="9" t="str">
        <f t="shared" ref="C381:C382" si="38">HYPERLINK("https://en.wikipedia.org/wiki/King_of_the_Beach_(Wavves_album)","King of the Beach")</f>
        <v>King of the Beach</v>
      </c>
      <c r="D381" s="7">
        <v>2010</v>
      </c>
    </row>
    <row r="382" spans="1:4" ht="12.75">
      <c r="A382" s="27" t="s">
        <v>3731</v>
      </c>
      <c r="B382" s="28">
        <v>74</v>
      </c>
      <c r="C382" s="29" t="str">
        <f t="shared" si="38"/>
        <v>King of the Beach</v>
      </c>
      <c r="D382" s="27">
        <v>2010</v>
      </c>
    </row>
    <row r="383" spans="1:4" ht="12.75">
      <c r="A383" s="7" t="s">
        <v>3732</v>
      </c>
      <c r="B383" s="8">
        <v>67</v>
      </c>
      <c r="C383" s="9" t="str">
        <f>HYPERLINK("https://en.wikipedia.org/wiki/Afraid_of_Heights_(Wavves_album)","Afraid of Heights")</f>
        <v>Afraid of Heights</v>
      </c>
      <c r="D383" s="7">
        <v>2013</v>
      </c>
    </row>
    <row r="384" spans="1:4" ht="12.75">
      <c r="A384" s="27" t="s">
        <v>3733</v>
      </c>
      <c r="B384" s="28">
        <v>57</v>
      </c>
      <c r="C384" s="29" t="str">
        <f>HYPERLINK("https://en.wikipedia.org/wiki/Music_of_Grand_Theft_Auto_V#The_Music_of_Grand_Theft_Auto_V","The Music of Grand Theft Auto V")</f>
        <v>The Music of Grand Theft Auto V</v>
      </c>
      <c r="D384" s="27">
        <v>2015</v>
      </c>
    </row>
    <row r="385" spans="1:4" ht="12.75">
      <c r="A385" s="7" t="s">
        <v>3734</v>
      </c>
      <c r="B385" s="8">
        <v>53</v>
      </c>
      <c r="C385" s="9" t="str">
        <f t="shared" ref="C385:C386" si="39">HYPERLINK("https://en.wikipedia.org/wiki/Afraid_of_Heights_(Wavves_album)","Afraid of Heights")</f>
        <v>Afraid of Heights</v>
      </c>
      <c r="D385" s="7">
        <v>2013</v>
      </c>
    </row>
    <row r="386" spans="1:4" ht="12.75">
      <c r="A386" s="27" t="s">
        <v>3735</v>
      </c>
      <c r="B386" s="28">
        <v>47</v>
      </c>
      <c r="C386" s="29" t="str">
        <f t="shared" si="39"/>
        <v>Afraid of Heights</v>
      </c>
      <c r="D386" s="27">
        <v>2013</v>
      </c>
    </row>
    <row r="387" spans="1:4" ht="12.75">
      <c r="A387" s="7" t="s">
        <v>3736</v>
      </c>
      <c r="B387" s="8">
        <v>37</v>
      </c>
      <c r="C387" s="9" t="str">
        <f t="shared" ref="C387:C388" si="40">HYPERLINK("https://en.wikipedia.org/wiki/V_(Wavves_album)","V")</f>
        <v>V</v>
      </c>
      <c r="D387" s="7">
        <v>2015</v>
      </c>
    </row>
    <row r="388" spans="1:4" ht="12.75">
      <c r="A388" s="27" t="s">
        <v>3737</v>
      </c>
      <c r="B388" s="28">
        <v>36</v>
      </c>
      <c r="C388" s="29" t="str">
        <f t="shared" si="40"/>
        <v>V</v>
      </c>
      <c r="D388" s="27">
        <v>2015</v>
      </c>
    </row>
    <row r="389" spans="1:4" ht="12.75">
      <c r="A389" s="7" t="s">
        <v>3738</v>
      </c>
      <c r="B389" s="8">
        <v>35</v>
      </c>
      <c r="C389" s="9" t="str">
        <f>HYPERLINK("https://en.wikipedia.org/wiki/Wavvves","Wavvves")</f>
        <v>Wavvves</v>
      </c>
      <c r="D389" s="7">
        <v>2009</v>
      </c>
    </row>
    <row r="390" spans="1:4" ht="12.75">
      <c r="A390" s="27" t="s">
        <v>3739</v>
      </c>
      <c r="B390" s="28">
        <v>33</v>
      </c>
      <c r="C390" s="29" t="str">
        <f>HYPERLINK("https://en.wikipedia.org/wiki/King_of_the_Beach_(Wavves_album)","King of the Beach")</f>
        <v>King of the Beach</v>
      </c>
      <c r="D390" s="27">
        <v>2010</v>
      </c>
    </row>
    <row r="391" spans="1:4" ht="12.75">
      <c r="A391" s="155"/>
      <c r="B391" s="156"/>
      <c r="C391" s="156"/>
      <c r="D391" s="161"/>
    </row>
    <row r="392" spans="1:4" ht="18">
      <c r="A392" s="112" t="s">
        <v>3740</v>
      </c>
      <c r="B392" s="118">
        <v>44180</v>
      </c>
      <c r="C392" s="27"/>
      <c r="D392" s="116" t="s">
        <v>1</v>
      </c>
    </row>
    <row r="393" spans="1:4" ht="12.75">
      <c r="A393" s="114" t="s">
        <v>2</v>
      </c>
      <c r="B393" s="114" t="s">
        <v>3</v>
      </c>
      <c r="C393" s="114" t="s">
        <v>4</v>
      </c>
      <c r="D393" s="114" t="s">
        <v>5</v>
      </c>
    </row>
    <row r="394" spans="1:4" ht="12.75">
      <c r="A394" s="7" t="s">
        <v>3741</v>
      </c>
      <c r="B394" s="8">
        <v>141</v>
      </c>
      <c r="C394" s="9" t="s">
        <v>3742</v>
      </c>
      <c r="D394" s="7">
        <v>2020</v>
      </c>
    </row>
    <row r="395" spans="1:4" ht="12.75">
      <c r="A395" s="27" t="s">
        <v>678</v>
      </c>
      <c r="B395" s="28">
        <v>101</v>
      </c>
      <c r="C395" s="29" t="s">
        <v>3743</v>
      </c>
      <c r="D395" s="27">
        <v>2017</v>
      </c>
    </row>
    <row r="396" spans="1:4" ht="12.75">
      <c r="A396" s="7" t="s">
        <v>3744</v>
      </c>
      <c r="B396" s="8">
        <v>91</v>
      </c>
      <c r="C396" s="9" t="s">
        <v>3742</v>
      </c>
      <c r="D396" s="7">
        <v>2020</v>
      </c>
    </row>
    <row r="397" spans="1:4" ht="12.75">
      <c r="A397" s="27" t="s">
        <v>3745</v>
      </c>
      <c r="B397" s="28">
        <v>86</v>
      </c>
      <c r="C397" s="29" t="s">
        <v>3742</v>
      </c>
      <c r="D397" s="27">
        <v>2020</v>
      </c>
    </row>
    <row r="398" spans="1:4" ht="12.75">
      <c r="A398" s="7" t="s">
        <v>3746</v>
      </c>
      <c r="B398" s="8">
        <v>72</v>
      </c>
      <c r="C398" s="9" t="s">
        <v>3743</v>
      </c>
      <c r="D398" s="7">
        <v>2017</v>
      </c>
    </row>
    <row r="399" spans="1:4" ht="12.75">
      <c r="A399" s="27" t="s">
        <v>3747</v>
      </c>
      <c r="B399" s="28">
        <v>62</v>
      </c>
      <c r="C399" s="29" t="s">
        <v>3748</v>
      </c>
      <c r="D399" s="27">
        <v>2013</v>
      </c>
    </row>
    <row r="400" spans="1:4" ht="12.75">
      <c r="A400" s="7" t="s">
        <v>3749</v>
      </c>
      <c r="B400" s="8">
        <v>48</v>
      </c>
      <c r="C400" s="9" t="s">
        <v>3750</v>
      </c>
      <c r="D400" s="7">
        <v>2012</v>
      </c>
    </row>
    <row r="401" spans="1:4" ht="12.75">
      <c r="A401" s="27" t="s">
        <v>3751</v>
      </c>
      <c r="B401" s="28">
        <v>46</v>
      </c>
      <c r="C401" s="29" t="s">
        <v>3743</v>
      </c>
      <c r="D401" s="27">
        <v>2017</v>
      </c>
    </row>
    <row r="402" spans="1:4" ht="12.75">
      <c r="A402" s="7" t="s">
        <v>3752</v>
      </c>
      <c r="B402" s="8">
        <v>44</v>
      </c>
      <c r="C402" s="9" t="s">
        <v>3753</v>
      </c>
      <c r="D402" s="7">
        <v>2015</v>
      </c>
    </row>
    <row r="403" spans="1:4" ht="12.75">
      <c r="A403" s="27" t="s">
        <v>3754</v>
      </c>
      <c r="B403" s="28">
        <v>42</v>
      </c>
      <c r="C403" s="29" t="s">
        <v>3755</v>
      </c>
      <c r="D403" s="27">
        <v>2018</v>
      </c>
    </row>
    <row r="404" spans="1:4" ht="12.75">
      <c r="A404" s="155"/>
      <c r="B404" s="156"/>
      <c r="C404" s="156"/>
      <c r="D404" s="161"/>
    </row>
    <row r="405" spans="1:4" ht="18">
      <c r="A405" s="112" t="str">
        <f>HYPERLINK("https://www.reddit.com/r/indieheads/comments/6pfl79/top_ten_tuesday_ween/","Ween")</f>
        <v>Ween</v>
      </c>
      <c r="B405" s="113">
        <v>42941</v>
      </c>
      <c r="C405" s="27"/>
      <c r="D405" s="27"/>
    </row>
    <row r="406" spans="1:4" ht="12.75">
      <c r="A406" s="114" t="s">
        <v>2</v>
      </c>
      <c r="B406" s="114" t="s">
        <v>3</v>
      </c>
      <c r="C406" s="114" t="s">
        <v>4</v>
      </c>
      <c r="D406" s="114" t="s">
        <v>5</v>
      </c>
    </row>
    <row r="407" spans="1:4" ht="12.75">
      <c r="A407" s="7" t="s">
        <v>3756</v>
      </c>
      <c r="B407" s="8">
        <v>189</v>
      </c>
      <c r="C407" s="9" t="str">
        <f>HYPERLINK("https://en.wikipedia.org/wiki/The_Mollusk","The Mollusk")</f>
        <v>The Mollusk</v>
      </c>
      <c r="D407" s="7">
        <v>1997</v>
      </c>
    </row>
    <row r="408" spans="1:4" ht="12.75">
      <c r="A408" s="27" t="s">
        <v>3757</v>
      </c>
      <c r="B408" s="28">
        <v>156</v>
      </c>
      <c r="C408" s="29" t="str">
        <f>HYPERLINK("https://en.wikipedia.org/wiki/Quebec_(album)","Quebec")</f>
        <v>Quebec</v>
      </c>
      <c r="D408" s="27">
        <v>2003</v>
      </c>
    </row>
    <row r="409" spans="1:4" ht="12.75">
      <c r="A409" s="7" t="s">
        <v>3758</v>
      </c>
      <c r="B409" s="8">
        <v>131</v>
      </c>
      <c r="C409" s="9" t="str">
        <f>HYPERLINK("https://en.wikipedia.org/wiki/The_Mollusk","The Mollusk")</f>
        <v>The Mollusk</v>
      </c>
      <c r="D409" s="7">
        <v>1997</v>
      </c>
    </row>
    <row r="410" spans="1:4" ht="12.75">
      <c r="A410" s="27" t="s">
        <v>3759</v>
      </c>
      <c r="B410" s="28">
        <v>113</v>
      </c>
      <c r="C410" s="29" t="str">
        <f>HYPERLINK("https://en.wikipedia.org/wiki/Quebec_(album)","Quebec")</f>
        <v>Quebec</v>
      </c>
      <c r="D410" s="27">
        <v>2003</v>
      </c>
    </row>
    <row r="411" spans="1:4" ht="12.75">
      <c r="A411" s="7" t="s">
        <v>3760</v>
      </c>
      <c r="B411" s="8">
        <v>104</v>
      </c>
      <c r="C411" s="9" t="str">
        <f>HYPERLINK("https://en.wikipedia.org/wiki/The_Mollusk","The Mollusk")</f>
        <v>The Mollusk</v>
      </c>
      <c r="D411" s="7">
        <v>1997</v>
      </c>
    </row>
    <row r="412" spans="1:4" ht="12.75">
      <c r="A412" s="27" t="s">
        <v>3761</v>
      </c>
      <c r="B412" s="28">
        <v>100</v>
      </c>
      <c r="C412" s="29" t="str">
        <f>HYPERLINK("https://en.wikipedia.org/wiki/Quebec_(album)","Quebec")</f>
        <v>Quebec</v>
      </c>
      <c r="D412" s="27">
        <v>2003</v>
      </c>
    </row>
    <row r="413" spans="1:4" ht="12.75">
      <c r="A413" s="7" t="s">
        <v>3762</v>
      </c>
      <c r="B413" s="8">
        <v>96</v>
      </c>
      <c r="C413" s="9" t="str">
        <f t="shared" ref="C413:C414" si="41">HYPERLINK("https://en.wikipedia.org/wiki/Chocolate_and_Cheese","Chocolate and Cheese")</f>
        <v>Chocolate and Cheese</v>
      </c>
      <c r="D413" s="7">
        <v>1994</v>
      </c>
    </row>
    <row r="414" spans="1:4" ht="12.75">
      <c r="A414" s="27" t="s">
        <v>3763</v>
      </c>
      <c r="B414" s="28">
        <v>96</v>
      </c>
      <c r="C414" s="29" t="str">
        <f t="shared" si="41"/>
        <v>Chocolate and Cheese</v>
      </c>
      <c r="D414" s="27">
        <v>1994</v>
      </c>
    </row>
    <row r="415" spans="1:4" ht="12.75">
      <c r="A415" s="7" t="s">
        <v>3764</v>
      </c>
      <c r="B415" s="8">
        <v>94</v>
      </c>
      <c r="C415" s="9" t="str">
        <f>HYPERLINK("https://en.wikipedia.org/wiki/The_Mollusk","The Mollusk")</f>
        <v>The Mollusk</v>
      </c>
      <c r="D415" s="7">
        <v>1997</v>
      </c>
    </row>
    <row r="416" spans="1:4" ht="12.75">
      <c r="A416" s="27" t="s">
        <v>3765</v>
      </c>
      <c r="B416" s="28">
        <v>81</v>
      </c>
      <c r="C416" s="29" t="str">
        <f>HYPERLINK("https://en.wikipedia.org/wiki/GodWeenSatan:_The_Oneness","GodWeenSatan: The Oneness")</f>
        <v>GodWeenSatan: The Oneness</v>
      </c>
      <c r="D416" s="27">
        <v>1990</v>
      </c>
    </row>
    <row r="417" spans="1:4" ht="12.75">
      <c r="A417" s="155"/>
      <c r="B417" s="156"/>
      <c r="C417" s="156"/>
      <c r="D417" s="161"/>
    </row>
    <row r="418" spans="1:4" ht="18">
      <c r="A418" s="112" t="str">
        <f>HYPERLINK("https://www.reddit.com/r/indieheads/comments/bwo1g6/top_ten_tuesday_weezer/","Weezer")</f>
        <v>Weezer</v>
      </c>
      <c r="B418" s="115">
        <v>43620</v>
      </c>
      <c r="C418" s="27"/>
      <c r="D418" s="116" t="s">
        <v>1</v>
      </c>
    </row>
    <row r="419" spans="1:4" ht="12.75">
      <c r="A419" s="114" t="s">
        <v>2</v>
      </c>
      <c r="B419" s="114" t="s">
        <v>3</v>
      </c>
      <c r="C419" s="114" t="s">
        <v>4</v>
      </c>
      <c r="D419" s="114" t="s">
        <v>5</v>
      </c>
    </row>
    <row r="420" spans="1:4" ht="12.75">
      <c r="A420" s="7" t="s">
        <v>3766</v>
      </c>
      <c r="B420" s="8">
        <v>700</v>
      </c>
      <c r="C420" s="9" t="str">
        <f t="shared" ref="C420:C421" si="42">HYPERLINK("http://en.wikipedia.org/wiki/Weezer_(1994_album)","The Blue Album")</f>
        <v>The Blue Album</v>
      </c>
      <c r="D420" s="7">
        <v>1994</v>
      </c>
    </row>
    <row r="421" spans="1:4" ht="12.75">
      <c r="A421" s="10" t="s">
        <v>3767</v>
      </c>
      <c r="B421" s="11">
        <v>611</v>
      </c>
      <c r="C421" s="12" t="str">
        <f t="shared" si="42"/>
        <v>The Blue Album</v>
      </c>
      <c r="D421" s="10">
        <v>1994</v>
      </c>
    </row>
    <row r="422" spans="1:4" ht="12.75">
      <c r="A422" s="7" t="s">
        <v>3768</v>
      </c>
      <c r="B422" s="8">
        <v>550</v>
      </c>
      <c r="C422" s="9" t="str">
        <f t="shared" ref="C422:C423" si="43">HYPERLINK("http://en.wikipedia.org/wiki/Pinkerton_(album)","Pinkerton")</f>
        <v>Pinkerton</v>
      </c>
      <c r="D422" s="7">
        <v>1996</v>
      </c>
    </row>
    <row r="423" spans="1:4" ht="12.75">
      <c r="A423" s="27" t="s">
        <v>3769</v>
      </c>
      <c r="B423" s="28">
        <v>464</v>
      </c>
      <c r="C423" s="29" t="str">
        <f t="shared" si="43"/>
        <v>Pinkerton</v>
      </c>
      <c r="D423" s="27">
        <v>1996</v>
      </c>
    </row>
    <row r="424" spans="1:4" ht="12.75">
      <c r="A424" s="7" t="s">
        <v>3770</v>
      </c>
      <c r="B424" s="8">
        <v>435</v>
      </c>
      <c r="C424" s="9" t="str">
        <f>HYPERLINK("http://en.wikipedia.org/wiki/Weezer_(1994_album)","The Blue Album")</f>
        <v>The Blue Album</v>
      </c>
      <c r="D424" s="7">
        <v>1994</v>
      </c>
    </row>
    <row r="425" spans="1:4" ht="12.75">
      <c r="A425" s="10" t="s">
        <v>3771</v>
      </c>
      <c r="B425" s="11">
        <v>426</v>
      </c>
      <c r="C425" s="12" t="str">
        <f>HYPERLINK("https://en.wikipedia.org/wiki/Weezer_(Blue_Album)","The Blue Album")</f>
        <v>The Blue Album</v>
      </c>
      <c r="D425" s="10">
        <v>1994</v>
      </c>
    </row>
    <row r="426" spans="1:4" ht="12.75">
      <c r="A426" s="7" t="s">
        <v>3772</v>
      </c>
      <c r="B426" s="8">
        <v>419</v>
      </c>
      <c r="C426" s="9" t="str">
        <f t="shared" ref="C426:C427" si="44">HYPERLINK("http://en.wikipedia.org/wiki/Pinkerton_(album)","Pinkerton")</f>
        <v>Pinkerton</v>
      </c>
      <c r="D426" s="7">
        <v>1996</v>
      </c>
    </row>
    <row r="427" spans="1:4" ht="12.75">
      <c r="A427" s="10" t="s">
        <v>3773</v>
      </c>
      <c r="B427" s="11">
        <v>400</v>
      </c>
      <c r="C427" s="12" t="str">
        <f t="shared" si="44"/>
        <v>Pinkerton</v>
      </c>
      <c r="D427" s="10">
        <v>1996</v>
      </c>
    </row>
    <row r="428" spans="1:4" ht="12.75">
      <c r="A428" s="7" t="s">
        <v>3774</v>
      </c>
      <c r="B428" s="8">
        <v>372</v>
      </c>
      <c r="C428" s="9" t="str">
        <f>HYPERLINK("http://en.wikipedia.org/wiki/Weezer_(1994_album)","The Blue Album")</f>
        <v>The Blue Album</v>
      </c>
      <c r="D428" s="7">
        <v>1994</v>
      </c>
    </row>
    <row r="429" spans="1:4" ht="12.75">
      <c r="A429" s="27" t="s">
        <v>3775</v>
      </c>
      <c r="B429" s="28">
        <v>274</v>
      </c>
      <c r="C429" s="29" t="str">
        <f>HYPERLINK("https://en.wikipedia.org/wiki/Weezer_(Blue_Album)","The Blue Album")</f>
        <v>The Blue Album</v>
      </c>
      <c r="D429" s="27">
        <v>1994</v>
      </c>
    </row>
    <row r="430" spans="1:4" ht="12.75">
      <c r="A430" s="155"/>
      <c r="B430" s="156"/>
      <c r="C430" s="156"/>
      <c r="D430" s="161"/>
    </row>
    <row r="431" spans="1:4" ht="18">
      <c r="A431" s="112" t="s">
        <v>3776</v>
      </c>
      <c r="B431" s="113">
        <v>43956</v>
      </c>
      <c r="C431" s="27"/>
      <c r="D431" s="116" t="s">
        <v>1</v>
      </c>
    </row>
    <row r="432" spans="1:4" ht="12.75">
      <c r="A432" s="114" t="s">
        <v>2</v>
      </c>
      <c r="B432" s="114" t="s">
        <v>3</v>
      </c>
      <c r="C432" s="114" t="s">
        <v>4</v>
      </c>
      <c r="D432" s="114" t="s">
        <v>5</v>
      </c>
    </row>
    <row r="433" spans="1:4" ht="12.75">
      <c r="A433" s="7" t="s">
        <v>3777</v>
      </c>
      <c r="B433" s="8">
        <v>554</v>
      </c>
      <c r="C433" s="9" t="s">
        <v>3778</v>
      </c>
      <c r="D433" s="7">
        <v>2019</v>
      </c>
    </row>
    <row r="434" spans="1:4" ht="12.75">
      <c r="A434" s="27" t="s">
        <v>3779</v>
      </c>
      <c r="B434" s="28">
        <v>467</v>
      </c>
      <c r="C434" s="29" t="s">
        <v>3778</v>
      </c>
      <c r="D434" s="27">
        <v>2019</v>
      </c>
    </row>
    <row r="435" spans="1:4" ht="12.75">
      <c r="A435" s="7" t="s">
        <v>3780</v>
      </c>
      <c r="B435" s="8">
        <v>437</v>
      </c>
      <c r="C435" s="9" t="s">
        <v>3778</v>
      </c>
      <c r="D435" s="7">
        <v>2019</v>
      </c>
    </row>
    <row r="436" spans="1:4" ht="12.75">
      <c r="A436" s="10" t="s">
        <v>3781</v>
      </c>
      <c r="B436" s="11">
        <v>425</v>
      </c>
      <c r="C436" s="12" t="s">
        <v>3778</v>
      </c>
      <c r="D436" s="10">
        <v>2019</v>
      </c>
    </row>
    <row r="437" spans="1:4" ht="12.75">
      <c r="A437" s="7" t="s">
        <v>3782</v>
      </c>
      <c r="B437" s="8">
        <v>357</v>
      </c>
      <c r="C437" s="9" t="s">
        <v>3778</v>
      </c>
      <c r="D437" s="7">
        <v>2019</v>
      </c>
    </row>
    <row r="438" spans="1:4" ht="12.75">
      <c r="A438" s="10" t="s">
        <v>3783</v>
      </c>
      <c r="B438" s="11">
        <v>318</v>
      </c>
      <c r="C438" s="12" t="s">
        <v>3778</v>
      </c>
      <c r="D438" s="10">
        <v>2019</v>
      </c>
    </row>
    <row r="439" spans="1:4" ht="12.75">
      <c r="A439" s="7" t="s">
        <v>3784</v>
      </c>
      <c r="B439" s="8">
        <v>290</v>
      </c>
      <c r="C439" s="9" t="s">
        <v>3785</v>
      </c>
      <c r="D439" s="7">
        <v>2016</v>
      </c>
    </row>
    <row r="440" spans="1:4" ht="12.75">
      <c r="A440" s="10" t="s">
        <v>3786</v>
      </c>
      <c r="B440" s="11">
        <v>266</v>
      </c>
      <c r="C440" s="12" t="s">
        <v>3785</v>
      </c>
      <c r="D440" s="10">
        <v>2016</v>
      </c>
    </row>
    <row r="441" spans="1:4" ht="12.75">
      <c r="A441" s="7" t="s">
        <v>3787</v>
      </c>
      <c r="B441" s="8">
        <v>248</v>
      </c>
      <c r="C441" s="9" t="s">
        <v>3785</v>
      </c>
      <c r="D441" s="7">
        <v>2016</v>
      </c>
    </row>
    <row r="442" spans="1:4" ht="12.75">
      <c r="A442" s="10" t="s">
        <v>3788</v>
      </c>
      <c r="B442" s="11">
        <v>175</v>
      </c>
      <c r="C442" s="12" t="s">
        <v>3778</v>
      </c>
      <c r="D442" s="10">
        <v>2019</v>
      </c>
    </row>
    <row r="443" spans="1:4" ht="12.75">
      <c r="A443" s="155"/>
      <c r="B443" s="156"/>
      <c r="C443" s="156"/>
      <c r="D443" s="161"/>
    </row>
    <row r="444" spans="1:4" ht="18">
      <c r="A444" s="112" t="str">
        <f>HYPERLINK("https://www.reddit.com/r/indieheads/comments/63dg3m/top_ten_tuesday_the_white_stripes/","The White Stripes")</f>
        <v>The White Stripes</v>
      </c>
      <c r="B444" s="115">
        <v>42829</v>
      </c>
      <c r="C444" s="27"/>
      <c r="D444" s="27"/>
    </row>
    <row r="445" spans="1:4" ht="12.75">
      <c r="A445" s="114" t="s">
        <v>2</v>
      </c>
      <c r="B445" s="114" t="s">
        <v>3</v>
      </c>
      <c r="C445" s="114" t="s">
        <v>4</v>
      </c>
      <c r="D445" s="114" t="s">
        <v>5</v>
      </c>
    </row>
    <row r="446" spans="1:4" ht="12.75">
      <c r="A446" s="7" t="s">
        <v>3789</v>
      </c>
      <c r="B446" s="8">
        <v>390</v>
      </c>
      <c r="C446" s="9" t="str">
        <f t="shared" ref="C446:C447" si="45">HYPERLINK("http://en.wikipedia.org/wiki/White_Blood_Cells_(album)","White Blood Cells")</f>
        <v>White Blood Cells</v>
      </c>
      <c r="D446" s="7">
        <v>2001</v>
      </c>
    </row>
    <row r="447" spans="1:4" ht="12.75">
      <c r="A447" s="27" t="s">
        <v>3790</v>
      </c>
      <c r="B447" s="28">
        <v>348</v>
      </c>
      <c r="C447" s="29" t="str">
        <f t="shared" si="45"/>
        <v>White Blood Cells</v>
      </c>
      <c r="D447" s="27">
        <v>2001</v>
      </c>
    </row>
    <row r="448" spans="1:4" ht="12.75">
      <c r="A448" s="7" t="s">
        <v>3791</v>
      </c>
      <c r="B448" s="8">
        <v>261</v>
      </c>
      <c r="C448" s="9" t="str">
        <f t="shared" ref="C448:C449" si="46">HYPERLINK("http://en.wikipedia.org/wiki/Elephant_(album)","Elephant")</f>
        <v>Elephant</v>
      </c>
      <c r="D448" s="7">
        <v>2003</v>
      </c>
    </row>
    <row r="449" spans="1:4" ht="12.75">
      <c r="A449" s="10" t="s">
        <v>3792</v>
      </c>
      <c r="B449" s="11">
        <v>257</v>
      </c>
      <c r="C449" s="12" t="str">
        <f t="shared" si="46"/>
        <v>Elephant</v>
      </c>
      <c r="D449" s="10">
        <v>2003</v>
      </c>
    </row>
    <row r="450" spans="1:4" ht="12.75">
      <c r="A450" s="7" t="s">
        <v>3793</v>
      </c>
      <c r="B450" s="8">
        <v>205</v>
      </c>
      <c r="C450" s="9" t="str">
        <f>HYPERLINK("https://en.wikipedia.org/wiki/Elephant_(album)","Elephant")</f>
        <v>Elephant</v>
      </c>
      <c r="D450" s="7">
        <v>2003</v>
      </c>
    </row>
    <row r="451" spans="1:4" ht="12.75">
      <c r="A451" s="27" t="s">
        <v>3794</v>
      </c>
      <c r="B451" s="28">
        <v>194</v>
      </c>
      <c r="C451" s="29" t="str">
        <f>HYPERLINK("http://en.wikipedia.org/wiki/Icky_Thump","Icky Thump")</f>
        <v>Icky Thump</v>
      </c>
      <c r="D451" s="27">
        <v>2007</v>
      </c>
    </row>
    <row r="452" spans="1:4" ht="12.75">
      <c r="A452" s="7" t="s">
        <v>3795</v>
      </c>
      <c r="B452" s="8">
        <v>189</v>
      </c>
      <c r="C452" s="9" t="str">
        <f>HYPERLINK("http://en.wikipedia.org/wiki/White_Blood_Cells_(album)","White Blood Cells")</f>
        <v>White Blood Cells</v>
      </c>
      <c r="D452" s="7">
        <v>2001</v>
      </c>
    </row>
    <row r="453" spans="1:4" ht="12.75">
      <c r="A453" s="27" t="s">
        <v>3796</v>
      </c>
      <c r="B453" s="28">
        <v>163</v>
      </c>
      <c r="C453" s="29" t="str">
        <f>HYPERLINK("https://en.wikipedia.org/wiki/De_Stijl_(album)","De Stijl")</f>
        <v>De Stijl</v>
      </c>
      <c r="D453" s="27">
        <v>2000</v>
      </c>
    </row>
    <row r="454" spans="1:4" ht="12.75">
      <c r="A454" s="7" t="s">
        <v>3797</v>
      </c>
      <c r="B454" s="8">
        <v>140</v>
      </c>
      <c r="C454" s="9" t="str">
        <f>HYPERLINK("http://en.wikipedia.org/wiki/Elephant_(album)","Elephant")</f>
        <v>Elephant</v>
      </c>
      <c r="D454" s="7">
        <v>2003</v>
      </c>
    </row>
    <row r="455" spans="1:4" ht="12.75">
      <c r="A455" s="10" t="s">
        <v>3798</v>
      </c>
      <c r="B455" s="11">
        <v>106</v>
      </c>
      <c r="C455" s="12" t="str">
        <f>HYPERLINK("http://en.wikipedia.org/wiki/White_Blood_Cells_(album)","White Blood Cells")</f>
        <v>White Blood Cells</v>
      </c>
      <c r="D455" s="10">
        <v>2001</v>
      </c>
    </row>
    <row r="456" spans="1:4" ht="12.75">
      <c r="A456" s="155"/>
      <c r="B456" s="156"/>
      <c r="C456" s="156"/>
      <c r="D456" s="161"/>
    </row>
    <row r="457" spans="1:4" ht="18">
      <c r="A457" s="112" t="str">
        <f>HYPERLINK("https://www.reddit.com/r/indieheads/comments/3zmom1/top_ten_tuesday_wilco/","Wilco")</f>
        <v>Wilco</v>
      </c>
      <c r="B457" s="115">
        <v>42374</v>
      </c>
      <c r="C457" s="27"/>
      <c r="D457" s="27"/>
    </row>
    <row r="458" spans="1:4" ht="12.75">
      <c r="A458" s="114" t="s">
        <v>2</v>
      </c>
      <c r="B458" s="114" t="s">
        <v>3</v>
      </c>
      <c r="C458" s="114" t="s">
        <v>4</v>
      </c>
      <c r="D458" s="114" t="s">
        <v>5</v>
      </c>
    </row>
    <row r="459" spans="1:4" ht="12.75">
      <c r="A459" s="9" t="str">
        <f>HYPERLINK("https://www.youtube.com/watch?v=zlxH9-TYseY","I Am Trying to Break Your Heart")</f>
        <v>I Am Trying to Break Your Heart</v>
      </c>
      <c r="B459" s="8">
        <v>228</v>
      </c>
      <c r="C459" s="9" t="str">
        <f t="shared" ref="C459:C460" si="47">HYPERLINK("https://en.wikipedia.org/wiki/Yankee_Hotel_Foxtrot","Yankee Hotel Foxtrot")</f>
        <v>Yankee Hotel Foxtrot</v>
      </c>
      <c r="D459" s="7">
        <v>2002</v>
      </c>
    </row>
    <row r="460" spans="1:4" ht="12.75">
      <c r="A460" s="29" t="str">
        <f>HYPERLINK("https://www.youtube.com/watch?v=efq95Pfqt5U","Jesus, Etc.")</f>
        <v>Jesus, Etc.</v>
      </c>
      <c r="B460" s="28">
        <v>162</v>
      </c>
      <c r="C460" s="29" t="str">
        <f t="shared" si="47"/>
        <v>Yankee Hotel Foxtrot</v>
      </c>
      <c r="D460" s="27">
        <v>2002</v>
      </c>
    </row>
    <row r="461" spans="1:4" ht="12.75">
      <c r="A461" s="9" t="str">
        <f>HYPERLINK("https://www.youtube.com/watch?v=3NRr2QrXn7s","Misunderstood")</f>
        <v>Misunderstood</v>
      </c>
      <c r="B461" s="8">
        <v>156</v>
      </c>
      <c r="C461" s="9" t="str">
        <f>HYPERLINK("https://en.wikipedia.org/wiki/Being_There_(Wilco_album)","Being There")</f>
        <v>Being There</v>
      </c>
      <c r="D461" s="7">
        <v>1996</v>
      </c>
    </row>
    <row r="462" spans="1:4" ht="12.75">
      <c r="A462" s="29" t="str">
        <f>HYPERLINK("https://www.youtube.com/watch?v=J7lgner6IO0","Via Chicago")</f>
        <v>Via Chicago</v>
      </c>
      <c r="B462" s="28">
        <v>129</v>
      </c>
      <c r="C462" s="29" t="str">
        <f t="shared" ref="C462:C463" si="48">HYPERLINK("https://en.wikipedia.org/wiki/Summerteeth","Summerteeth")</f>
        <v>Summerteeth</v>
      </c>
      <c r="D462" s="27">
        <v>1999</v>
      </c>
    </row>
    <row r="463" spans="1:4" ht="12.75">
      <c r="A463" s="9" t="str">
        <f>HYPERLINK("https://www.youtube.com/watch?v=Iof2IAnQKwI","A Shot in the Arm")</f>
        <v>A Shot in the Arm</v>
      </c>
      <c r="B463" s="8">
        <v>118</v>
      </c>
      <c r="C463" s="9" t="str">
        <f t="shared" si="48"/>
        <v>Summerteeth</v>
      </c>
      <c r="D463" s="7">
        <v>1999</v>
      </c>
    </row>
    <row r="464" spans="1:4" ht="12.75">
      <c r="A464" s="29" t="str">
        <f>HYPERLINK("https://www.youtube.com/watch?v=r_0BPqWpM_M","Impossible Germany")</f>
        <v>Impossible Germany</v>
      </c>
      <c r="B464" s="28">
        <v>102</v>
      </c>
      <c r="C464" s="29" t="str">
        <f>HYPERLINK("https://en.wikipedia.org/wiki/Sky_Blue_Sky","Sky Blue Sky")</f>
        <v>Sky Blue Sky</v>
      </c>
      <c r="D464" s="27">
        <v>2007</v>
      </c>
    </row>
    <row r="465" spans="1:4" ht="12.75">
      <c r="A465" s="9" t="str">
        <f>HYPERLINK("https://www.youtube.com/watch?v=4LMaqRmBo1s","Ashes of American Flags")</f>
        <v>Ashes of American Flags</v>
      </c>
      <c r="B465" s="8">
        <v>89</v>
      </c>
      <c r="C465" s="9" t="str">
        <f t="shared" ref="C465:C466" si="49">HYPERLINK("https://en.wikipedia.org/wiki/Yankee_Hotel_Foxtrot","Yankee Hotel Foxtrot")</f>
        <v>Yankee Hotel Foxtrot</v>
      </c>
      <c r="D465" s="7">
        <v>2002</v>
      </c>
    </row>
    <row r="466" spans="1:4" ht="12.75">
      <c r="A466" s="29" t="str">
        <f>HYPERLINK("https://www.youtube.com/watch?v=MiunRkXHP3g","Poor Places")</f>
        <v>Poor Places</v>
      </c>
      <c r="B466" s="28">
        <v>78</v>
      </c>
      <c r="C466" s="29" t="str">
        <f t="shared" si="49"/>
        <v>Yankee Hotel Foxtrot</v>
      </c>
      <c r="D466" s="27">
        <v>2002</v>
      </c>
    </row>
    <row r="467" spans="1:4" ht="12.75">
      <c r="A467" s="9" t="str">
        <f>HYPERLINK("https://www.youtube.com/watch?v=psKZgp_ec9s","At Least That's What You Said")</f>
        <v>At Least That's What You Said</v>
      </c>
      <c r="B467" s="8">
        <v>77</v>
      </c>
      <c r="C467" s="9" t="str">
        <f>HYPERLINK("https://en.wikipedia.org/wiki/A_Ghost_Is_Born","A Ghost Is Born")</f>
        <v>A Ghost Is Born</v>
      </c>
      <c r="D467" s="7">
        <v>2004</v>
      </c>
    </row>
    <row r="468" spans="1:4" ht="12.75">
      <c r="A468" s="29" t="str">
        <f>HYPERLINK("https://www.youtube.com/watch?v=Hv1SUPieBPU","She's a Jar")</f>
        <v>She's a Jar</v>
      </c>
      <c r="B468" s="28">
        <v>65</v>
      </c>
      <c r="C468" s="29" t="str">
        <f>HYPERLINK("https://en.wikipedia.org/wiki/Summerteeth","Summerteeth")</f>
        <v>Summerteeth</v>
      </c>
      <c r="D468" s="27">
        <v>1999</v>
      </c>
    </row>
    <row r="469" spans="1:4" ht="12.75">
      <c r="A469" s="155"/>
      <c r="B469" s="156"/>
      <c r="C469" s="156"/>
      <c r="D469" s="161"/>
    </row>
    <row r="470" spans="1:4" ht="18">
      <c r="A470" s="112" t="str">
        <f>HYPERLINK("https://www.reddit.com/r/indieheads/comments/cdvtf8/top_ten_tuesday_wild_beasts/","Wild Beasts")</f>
        <v>Wild Beasts</v>
      </c>
      <c r="B470" s="113">
        <v>43662</v>
      </c>
      <c r="C470" s="27"/>
      <c r="D470" s="116" t="s">
        <v>1</v>
      </c>
    </row>
    <row r="471" spans="1:4" ht="12.75">
      <c r="A471" s="114" t="s">
        <v>2</v>
      </c>
      <c r="B471" s="114" t="s">
        <v>3</v>
      </c>
      <c r="C471" s="114" t="s">
        <v>4</v>
      </c>
      <c r="D471" s="114" t="s">
        <v>5</v>
      </c>
    </row>
    <row r="472" spans="1:4" ht="12.75">
      <c r="A472" s="7" t="s">
        <v>3799</v>
      </c>
      <c r="B472" s="8">
        <v>76</v>
      </c>
      <c r="C472" s="9" t="str">
        <f>HYPERLINK("https://en.wikipedia.org/wiki/Two_Dancers","Two Dancers")</f>
        <v>Two Dancers</v>
      </c>
      <c r="D472" s="7">
        <v>2009</v>
      </c>
    </row>
    <row r="473" spans="1:4" ht="12.75">
      <c r="A473" s="27" t="s">
        <v>3800</v>
      </c>
      <c r="B473" s="28">
        <v>70</v>
      </c>
      <c r="C473" s="29" t="s">
        <v>3801</v>
      </c>
      <c r="D473" s="27">
        <v>2008</v>
      </c>
    </row>
    <row r="474" spans="1:4" ht="12.75">
      <c r="A474" s="7" t="s">
        <v>3802</v>
      </c>
      <c r="B474" s="8">
        <v>63</v>
      </c>
      <c r="C474" s="9" t="str">
        <f>HYPERLINK("https://en.wikipedia.org/wiki/Smother_(album)","Smother")</f>
        <v>Smother</v>
      </c>
      <c r="D474" s="7">
        <v>2011</v>
      </c>
    </row>
    <row r="475" spans="1:4" ht="12.75">
      <c r="A475" s="27" t="s">
        <v>3803</v>
      </c>
      <c r="B475" s="28">
        <v>60</v>
      </c>
      <c r="C475" s="29" t="str">
        <f>HYPERLINK("https://en.wikipedia.org/wiki/Present_Tense_(Wild_Beasts_album)","Present Tense")</f>
        <v>Present Tense</v>
      </c>
      <c r="D475" s="27">
        <v>2014</v>
      </c>
    </row>
    <row r="476" spans="1:4" ht="12.75">
      <c r="A476" s="7" t="s">
        <v>3804</v>
      </c>
      <c r="B476" s="8">
        <v>58</v>
      </c>
      <c r="C476" s="9" t="str">
        <f t="shared" ref="C476:C477" si="50">HYPERLINK("https://en.wikipedia.org/wiki/Two_Dancers","Two Dancers")</f>
        <v>Two Dancers</v>
      </c>
      <c r="D476" s="7">
        <v>2009</v>
      </c>
    </row>
    <row r="477" spans="1:4" ht="12.75">
      <c r="A477" s="27" t="s">
        <v>3805</v>
      </c>
      <c r="B477" s="28">
        <v>55</v>
      </c>
      <c r="C477" s="29" t="str">
        <f t="shared" si="50"/>
        <v>Two Dancers</v>
      </c>
      <c r="D477" s="27">
        <v>2009</v>
      </c>
    </row>
    <row r="478" spans="1:4" ht="12.75">
      <c r="A478" s="7" t="s">
        <v>3806</v>
      </c>
      <c r="B478" s="8">
        <v>41</v>
      </c>
      <c r="C478" s="9" t="str">
        <f>HYPERLINK("https://en.wikipedia.org/wiki/Smother_(album)","Smother")</f>
        <v>Smother</v>
      </c>
      <c r="D478" s="7">
        <v>2011</v>
      </c>
    </row>
    <row r="479" spans="1:4" ht="12.75">
      <c r="A479" s="27" t="s">
        <v>3807</v>
      </c>
      <c r="B479" s="28">
        <v>40</v>
      </c>
      <c r="C479" s="29" t="str">
        <f t="shared" ref="C479:C480" si="51">HYPERLINK("https://en.wikipedia.org/wiki/Two_Dancers","Two Dancers")</f>
        <v>Two Dancers</v>
      </c>
      <c r="D479" s="27">
        <v>2009</v>
      </c>
    </row>
    <row r="480" spans="1:4" ht="12.75">
      <c r="A480" s="7" t="s">
        <v>3808</v>
      </c>
      <c r="B480" s="8">
        <v>38</v>
      </c>
      <c r="C480" s="9" t="str">
        <f t="shared" si="51"/>
        <v>Two Dancers</v>
      </c>
      <c r="D480" s="7">
        <v>2009</v>
      </c>
    </row>
    <row r="481" spans="1:4" ht="12.75">
      <c r="A481" s="27" t="s">
        <v>145</v>
      </c>
      <c r="B481" s="28">
        <v>38</v>
      </c>
      <c r="C481" s="29" t="str">
        <f>HYPERLINK("https://en.wikipedia.org/wiki/Present_Tense_(Wild_Beasts_album)","Present Tense")</f>
        <v>Present Tense</v>
      </c>
      <c r="D481" s="27">
        <v>2014</v>
      </c>
    </row>
    <row r="482" spans="1:4" ht="12.75">
      <c r="A482" s="155"/>
      <c r="B482" s="156"/>
      <c r="C482" s="156"/>
      <c r="D482" s="161"/>
    </row>
    <row r="483" spans="1:4" ht="18">
      <c r="A483" s="112" t="str">
        <f>HYPERLINK("https://www.reddit.com/r/indieheads/comments/7jascp/top_ten_tuesday_wild_nothing/","Wild Nothing")</f>
        <v>Wild Nothing</v>
      </c>
      <c r="B483" s="118">
        <v>43081</v>
      </c>
      <c r="C483" s="27"/>
      <c r="D483" s="27"/>
    </row>
    <row r="484" spans="1:4" ht="12.75">
      <c r="A484" s="114" t="s">
        <v>2</v>
      </c>
      <c r="B484" s="114" t="s">
        <v>3</v>
      </c>
      <c r="C484" s="114" t="s">
        <v>4</v>
      </c>
      <c r="D484" s="114" t="s">
        <v>5</v>
      </c>
    </row>
    <row r="485" spans="1:4" ht="12.75">
      <c r="A485" s="7" t="s">
        <v>3583</v>
      </c>
      <c r="B485" s="8">
        <v>123</v>
      </c>
      <c r="C485" s="9" t="str">
        <f t="shared" ref="C485:C487" si="52">HYPERLINK("https://en.wikipedia.org/wiki/Nocturne_(Wild_Nothing_album)","Nocturne")</f>
        <v>Nocturne</v>
      </c>
      <c r="D485" s="7">
        <v>2012</v>
      </c>
    </row>
    <row r="486" spans="1:4" ht="12.75">
      <c r="A486" s="27" t="s">
        <v>3809</v>
      </c>
      <c r="B486" s="28">
        <v>113</v>
      </c>
      <c r="C486" s="29" t="str">
        <f t="shared" si="52"/>
        <v>Nocturne</v>
      </c>
      <c r="D486" s="27">
        <v>2012</v>
      </c>
    </row>
    <row r="487" spans="1:4" ht="12.75">
      <c r="A487" s="7" t="s">
        <v>3810</v>
      </c>
      <c r="B487" s="8">
        <v>99</v>
      </c>
      <c r="C487" s="9" t="str">
        <f t="shared" si="52"/>
        <v>Nocturne</v>
      </c>
      <c r="D487" s="7">
        <v>2012</v>
      </c>
    </row>
    <row r="488" spans="1:4" ht="12.75">
      <c r="A488" s="27" t="s">
        <v>464</v>
      </c>
      <c r="B488" s="28">
        <v>84</v>
      </c>
      <c r="C488" s="29" t="str">
        <f>HYPERLINK("https://en.wikipedia.org/wiki/Gemini_(Wild_Nothing_album)","Gemini")</f>
        <v>Gemini</v>
      </c>
      <c r="D488" s="27">
        <v>2010</v>
      </c>
    </row>
    <row r="489" spans="1:4" ht="12.75">
      <c r="A489" s="7" t="s">
        <v>750</v>
      </c>
      <c r="B489" s="8">
        <v>66</v>
      </c>
      <c r="C489" s="9" t="str">
        <f>HYPERLINK("https://en.wikipedia.org/wiki/Nocturne_(Wild_Nothing_album)","Nocturne")</f>
        <v>Nocturne</v>
      </c>
      <c r="D489" s="7">
        <v>2012</v>
      </c>
    </row>
    <row r="490" spans="1:4" ht="12.75">
      <c r="A490" s="27" t="s">
        <v>3811</v>
      </c>
      <c r="B490" s="28">
        <v>60</v>
      </c>
      <c r="C490" s="29" t="str">
        <f t="shared" ref="C490:C492" si="53">HYPERLINK("https://en.wikipedia.org/wiki/Gemini_(Wild_Nothing_album)","Gemini")</f>
        <v>Gemini</v>
      </c>
      <c r="D490" s="27">
        <v>2010</v>
      </c>
    </row>
    <row r="491" spans="1:4" ht="12.75">
      <c r="A491" s="7" t="s">
        <v>3812</v>
      </c>
      <c r="B491" s="8">
        <v>51</v>
      </c>
      <c r="C491" s="9" t="str">
        <f t="shared" si="53"/>
        <v>Gemini</v>
      </c>
      <c r="D491" s="7">
        <v>2010</v>
      </c>
    </row>
    <row r="492" spans="1:4" ht="12.75">
      <c r="A492" s="27" t="s">
        <v>2725</v>
      </c>
      <c r="B492" s="28">
        <v>47</v>
      </c>
      <c r="C492" s="29" t="str">
        <f t="shared" si="53"/>
        <v>Gemini</v>
      </c>
      <c r="D492" s="27">
        <v>2010</v>
      </c>
    </row>
    <row r="493" spans="1:4" ht="12.75">
      <c r="A493" s="7" t="s">
        <v>3813</v>
      </c>
      <c r="B493" s="8">
        <v>40</v>
      </c>
      <c r="C493" s="7" t="s">
        <v>3814</v>
      </c>
      <c r="D493" s="7">
        <v>2010</v>
      </c>
    </row>
    <row r="494" spans="1:4" ht="12.75">
      <c r="A494" s="27" t="s">
        <v>3815</v>
      </c>
      <c r="B494" s="28">
        <v>32</v>
      </c>
      <c r="C494" s="29" t="str">
        <f>HYPERLINK("https://en.wikipedia.org/wiki/Nocturne_(Wild_Nothing_album)","Nocturne")</f>
        <v>Nocturne</v>
      </c>
      <c r="D494" s="27">
        <v>2012</v>
      </c>
    </row>
    <row r="495" spans="1:4" ht="12.75">
      <c r="A495" s="155"/>
      <c r="B495" s="156"/>
      <c r="C495" s="156"/>
      <c r="D495" s="161"/>
    </row>
    <row r="496" spans="1:4" ht="18">
      <c r="A496" s="112" t="str">
        <f>HYPERLINK("https://www.reddit.com/r/indieheads/comments/a0un9e/top_ten_tuesday_wire/","Wire")</f>
        <v>Wire</v>
      </c>
      <c r="B496" s="118">
        <v>43431</v>
      </c>
      <c r="C496" s="27"/>
      <c r="D496" s="116" t="s">
        <v>1</v>
      </c>
    </row>
    <row r="497" spans="1:4" ht="12.75">
      <c r="A497" s="114" t="s">
        <v>2</v>
      </c>
      <c r="B497" s="114" t="s">
        <v>3</v>
      </c>
      <c r="C497" s="114" t="s">
        <v>4</v>
      </c>
      <c r="D497" s="114" t="s">
        <v>5</v>
      </c>
    </row>
    <row r="498" spans="1:4" ht="12.75">
      <c r="A498" s="7" t="s">
        <v>3816</v>
      </c>
      <c r="B498" s="8">
        <v>115</v>
      </c>
      <c r="C498" s="9" t="str">
        <f>HYPERLINK("https://en.wikipedia.org/wiki/Pink_Flag","Pink Flag")</f>
        <v>Pink Flag</v>
      </c>
      <c r="D498" s="7">
        <v>1977</v>
      </c>
    </row>
    <row r="499" spans="1:4" ht="12.75">
      <c r="A499" s="27" t="s">
        <v>3817</v>
      </c>
      <c r="B499" s="28">
        <v>79</v>
      </c>
      <c r="C499" s="29" t="str">
        <f t="shared" ref="C499:C500" si="54">HYPERLINK("https://en.wikipedia.org/wiki/154_(album)","154")</f>
        <v>154</v>
      </c>
      <c r="D499" s="27">
        <v>1979</v>
      </c>
    </row>
    <row r="500" spans="1:4" ht="12.75">
      <c r="A500" s="7" t="s">
        <v>3818</v>
      </c>
      <c r="B500" s="8">
        <v>68</v>
      </c>
      <c r="C500" s="9" t="str">
        <f t="shared" si="54"/>
        <v>154</v>
      </c>
      <c r="D500" s="7">
        <v>1979</v>
      </c>
    </row>
    <row r="501" spans="1:4" ht="12.75">
      <c r="A501" s="27" t="s">
        <v>3819</v>
      </c>
      <c r="B501" s="28">
        <v>68</v>
      </c>
      <c r="C501" s="29" t="str">
        <f>HYPERLINK("https://en.wikipedia.org/wiki/Chairs_Missing","Chairs Missing")</f>
        <v>Chairs Missing</v>
      </c>
      <c r="D501" s="27">
        <v>1978</v>
      </c>
    </row>
    <row r="502" spans="1:4" ht="12.75">
      <c r="A502" s="7" t="s">
        <v>3820</v>
      </c>
      <c r="B502" s="8">
        <v>65</v>
      </c>
      <c r="C502" s="9" t="str">
        <f t="shared" ref="C502:C504" si="55">HYPERLINK("https://en.wikipedia.org/wiki/Pink_Flag","Pink Flag")</f>
        <v>Pink Flag</v>
      </c>
      <c r="D502" s="7">
        <v>1977</v>
      </c>
    </row>
    <row r="503" spans="1:4" ht="12.75">
      <c r="A503" s="27" t="s">
        <v>3821</v>
      </c>
      <c r="B503" s="28">
        <v>57</v>
      </c>
      <c r="C503" s="29" t="str">
        <f t="shared" si="55"/>
        <v>Pink Flag</v>
      </c>
      <c r="D503" s="27">
        <v>1977</v>
      </c>
    </row>
    <row r="504" spans="1:4" ht="12.75">
      <c r="A504" s="7" t="s">
        <v>3822</v>
      </c>
      <c r="B504" s="8">
        <v>56</v>
      </c>
      <c r="C504" s="9" t="str">
        <f t="shared" si="55"/>
        <v>Pink Flag</v>
      </c>
      <c r="D504" s="7">
        <v>1977</v>
      </c>
    </row>
    <row r="505" spans="1:4" ht="12.75">
      <c r="A505" s="27" t="s">
        <v>3823</v>
      </c>
      <c r="B505" s="28">
        <v>49</v>
      </c>
      <c r="C505" s="29" t="str">
        <f>HYPERLINK("https://en.wikipedia.org/wiki/Chairs_Missing","Chairs Missing")</f>
        <v>Chairs Missing</v>
      </c>
      <c r="D505" s="27">
        <v>1978</v>
      </c>
    </row>
    <row r="506" spans="1:4" ht="12.75">
      <c r="A506" s="7" t="s">
        <v>3824</v>
      </c>
      <c r="B506" s="8">
        <v>39</v>
      </c>
      <c r="C506" s="9" t="str">
        <f>HYPERLINK("https://en.wikipedia.org/wiki/154_(album)","154")</f>
        <v>154</v>
      </c>
      <c r="D506" s="7">
        <v>1979</v>
      </c>
    </row>
    <row r="507" spans="1:4" ht="12.75">
      <c r="A507" s="27" t="s">
        <v>3825</v>
      </c>
      <c r="B507" s="28">
        <v>38</v>
      </c>
      <c r="C507" s="29" t="str">
        <f>HYPERLINK("https://en.wikipedia.org/wiki/Pink_Flag","Pink Flag")</f>
        <v>Pink Flag</v>
      </c>
      <c r="D507" s="27">
        <v>1977</v>
      </c>
    </row>
    <row r="508" spans="1:4" ht="12.75">
      <c r="A508" s="155"/>
      <c r="B508" s="156"/>
      <c r="C508" s="156"/>
      <c r="D508" s="161"/>
    </row>
    <row r="509" spans="1:4" ht="18">
      <c r="A509" s="112" t="str">
        <f>HYPERLINK("https://www.reddit.com/r/indieheads/comments/dyjeeh/top_ten_tuesday_wolf_alice/","Wolf Alice")</f>
        <v>Wolf Alice</v>
      </c>
      <c r="B509" s="118">
        <v>43788</v>
      </c>
      <c r="C509" s="27"/>
      <c r="D509" s="116" t="s">
        <v>1</v>
      </c>
    </row>
    <row r="510" spans="1:4" ht="12.75">
      <c r="A510" s="114" t="s">
        <v>2</v>
      </c>
      <c r="B510" s="114" t="s">
        <v>3</v>
      </c>
      <c r="C510" s="114" t="s">
        <v>4</v>
      </c>
      <c r="D510" s="114" t="s">
        <v>5</v>
      </c>
    </row>
    <row r="511" spans="1:4" ht="12.75">
      <c r="A511" s="7" t="s">
        <v>3826</v>
      </c>
      <c r="B511" s="8">
        <v>330</v>
      </c>
      <c r="C511" s="9" t="str">
        <f>HYPERLINK("https://en.wikipedia.org/wiki/Visions_of_a_Life","Visions of a Live")</f>
        <v>Visions of a Live</v>
      </c>
      <c r="D511" s="7">
        <v>2017</v>
      </c>
    </row>
    <row r="512" spans="1:4" ht="12.75">
      <c r="A512" s="27" t="s">
        <v>3827</v>
      </c>
      <c r="B512" s="28">
        <v>289</v>
      </c>
      <c r="C512" s="29" t="str">
        <f t="shared" ref="C512:C515" si="56">HYPERLINK("https://en.wikipedia.org/wiki/My_Love_Is_Cool","My Love Is Cool")</f>
        <v>My Love Is Cool</v>
      </c>
      <c r="D512" s="27">
        <v>2015</v>
      </c>
    </row>
    <row r="513" spans="1:4" ht="12.75">
      <c r="A513" s="7" t="s">
        <v>3828</v>
      </c>
      <c r="B513" s="8">
        <v>224</v>
      </c>
      <c r="C513" s="9" t="str">
        <f t="shared" si="56"/>
        <v>My Love Is Cool</v>
      </c>
      <c r="D513" s="7">
        <v>2015</v>
      </c>
    </row>
    <row r="514" spans="1:4" ht="12.75">
      <c r="A514" s="27" t="s">
        <v>3829</v>
      </c>
      <c r="B514" s="28">
        <v>205</v>
      </c>
      <c r="C514" s="29" t="str">
        <f t="shared" si="56"/>
        <v>My Love Is Cool</v>
      </c>
      <c r="D514" s="27">
        <v>2015</v>
      </c>
    </row>
    <row r="515" spans="1:4" ht="12.75">
      <c r="A515" s="7" t="s">
        <v>3830</v>
      </c>
      <c r="B515" s="8">
        <v>200</v>
      </c>
      <c r="C515" s="9" t="str">
        <f t="shared" si="56"/>
        <v>My Love Is Cool</v>
      </c>
      <c r="D515" s="7">
        <v>2015</v>
      </c>
    </row>
    <row r="516" spans="1:4" ht="12.75">
      <c r="A516" s="27" t="s">
        <v>3831</v>
      </c>
      <c r="B516" s="28">
        <v>176</v>
      </c>
      <c r="C516" s="29" t="str">
        <f>HYPERLINK("https://en.wikipedia.org/wiki/Creature_Songs","Creature Songs EP")</f>
        <v>Creature Songs EP</v>
      </c>
      <c r="D516" s="27">
        <v>2014</v>
      </c>
    </row>
    <row r="517" spans="1:4" ht="12.75">
      <c r="A517" s="7" t="s">
        <v>3832</v>
      </c>
      <c r="B517" s="8">
        <v>158</v>
      </c>
      <c r="C517" s="9" t="str">
        <f>HYPERLINK("https://en.wikipedia.org/wiki/Blush_(Wolf_Alice_EP)","Blush EP")</f>
        <v>Blush EP</v>
      </c>
      <c r="D517" s="7">
        <v>2013</v>
      </c>
    </row>
    <row r="518" spans="1:4" ht="12.75">
      <c r="A518" s="27" t="s">
        <v>3833</v>
      </c>
      <c r="B518" s="28">
        <v>157</v>
      </c>
      <c r="C518" s="29" t="str">
        <f>HYPERLINK("https://en.wikipedia.org/wiki/Visions_of_a_Life","Visions of a Life")</f>
        <v>Visions of a Life</v>
      </c>
      <c r="D518" s="27">
        <v>2017</v>
      </c>
    </row>
    <row r="519" spans="1:4" ht="12.75">
      <c r="A519" s="7" t="s">
        <v>3834</v>
      </c>
      <c r="B519" s="8">
        <v>145</v>
      </c>
      <c r="C519" s="9" t="str">
        <f>HYPERLINK("https://en.wikipedia.org/wiki/My_Love_Is_Cool","My Love Is Cool")</f>
        <v>My Love Is Cool</v>
      </c>
      <c r="D519" s="7">
        <v>2015</v>
      </c>
    </row>
    <row r="520" spans="1:4" ht="12.75">
      <c r="A520" s="27" t="s">
        <v>3835</v>
      </c>
      <c r="B520" s="28">
        <v>120</v>
      </c>
      <c r="C520" s="29" t="str">
        <f>HYPERLINK("https://en.wikipedia.org/wiki/Visions_of_a_Life","Visions of a Life")</f>
        <v>Visions of a Life</v>
      </c>
      <c r="D520" s="27">
        <v>2017</v>
      </c>
    </row>
    <row r="521" spans="1:4" ht="12.75">
      <c r="A521" s="155"/>
      <c r="B521" s="156"/>
      <c r="C521" s="156"/>
      <c r="D521" s="161"/>
    </row>
    <row r="522" spans="1:4" ht="18">
      <c r="A522" s="112" t="str">
        <f>HYPERLINK("https://www.reddit.com/r/indieheads/comments/9cu30k/top_ten_tuesday_wolf_parade/","Wolf Parade")</f>
        <v>Wolf Parade</v>
      </c>
      <c r="B522" s="113">
        <v>43347</v>
      </c>
      <c r="C522" s="27"/>
      <c r="D522" s="116" t="s">
        <v>1</v>
      </c>
    </row>
    <row r="523" spans="1:4" ht="12.75">
      <c r="A523" s="114" t="s">
        <v>2</v>
      </c>
      <c r="B523" s="114" t="s">
        <v>3</v>
      </c>
      <c r="C523" s="114" t="s">
        <v>4</v>
      </c>
      <c r="D523" s="114" t="s">
        <v>5</v>
      </c>
    </row>
    <row r="524" spans="1:4" ht="12.75">
      <c r="A524" s="7" t="s">
        <v>3836</v>
      </c>
      <c r="B524" s="8">
        <v>310</v>
      </c>
      <c r="C524" s="9" t="str">
        <f>HYPERLINK("https://en.wikipedia.org/wiki/Apologies_to_the_Queen_Mary","Apologies to the Queen Mary")</f>
        <v>Apologies to the Queen Mary</v>
      </c>
      <c r="D524" s="7">
        <v>2005</v>
      </c>
    </row>
    <row r="525" spans="1:4" ht="12.75">
      <c r="A525" s="27" t="s">
        <v>3837</v>
      </c>
      <c r="B525" s="28">
        <v>186</v>
      </c>
      <c r="C525" s="29" t="str">
        <f>HYPERLINK("https://en.wikipedia.org/wiki/At_Mount_Zoomer","At Mount Zoomer")</f>
        <v>At Mount Zoomer</v>
      </c>
      <c r="D525" s="27">
        <v>2008</v>
      </c>
    </row>
    <row r="526" spans="1:4" ht="12.75">
      <c r="A526" s="7" t="s">
        <v>3838</v>
      </c>
      <c r="B526" s="8">
        <v>167</v>
      </c>
      <c r="C526" s="9" t="str">
        <f t="shared" ref="C526:C530" si="57">HYPERLINK("https://en.wikipedia.org/wiki/Apologies_to_the_Queen_Mary","Apologies to the Queen Mary")</f>
        <v>Apologies to the Queen Mary</v>
      </c>
      <c r="D526" s="7">
        <v>2005</v>
      </c>
    </row>
    <row r="527" spans="1:4" ht="12.75">
      <c r="A527" s="27" t="s">
        <v>3307</v>
      </c>
      <c r="B527" s="28">
        <v>160</v>
      </c>
      <c r="C527" s="29" t="str">
        <f t="shared" si="57"/>
        <v>Apologies to the Queen Mary</v>
      </c>
      <c r="D527" s="27">
        <v>2005</v>
      </c>
    </row>
    <row r="528" spans="1:4" ht="12.75">
      <c r="A528" s="7" t="s">
        <v>3839</v>
      </c>
      <c r="B528" s="8">
        <v>128</v>
      </c>
      <c r="C528" s="9" t="str">
        <f t="shared" si="57"/>
        <v>Apologies to the Queen Mary</v>
      </c>
      <c r="D528" s="7">
        <v>2005</v>
      </c>
    </row>
    <row r="529" spans="1:4" ht="12.75">
      <c r="A529" s="27" t="s">
        <v>1190</v>
      </c>
      <c r="B529" s="28">
        <v>125</v>
      </c>
      <c r="C529" s="29" t="str">
        <f t="shared" si="57"/>
        <v>Apologies to the Queen Mary</v>
      </c>
      <c r="D529" s="27">
        <v>2005</v>
      </c>
    </row>
    <row r="530" spans="1:4" ht="12.75">
      <c r="A530" s="7" t="s">
        <v>3840</v>
      </c>
      <c r="B530" s="8">
        <v>118</v>
      </c>
      <c r="C530" s="9" t="str">
        <f t="shared" si="57"/>
        <v>Apologies to the Queen Mary</v>
      </c>
      <c r="D530" s="7">
        <v>2005</v>
      </c>
    </row>
    <row r="531" spans="1:4" ht="12.75">
      <c r="A531" s="27" t="s">
        <v>3841</v>
      </c>
      <c r="B531" s="28">
        <v>81</v>
      </c>
      <c r="C531" s="29" t="str">
        <f>HYPERLINK("https://en.wikipedia.org/wiki/At_Mount_Zoomer","At Mount Zoomer")</f>
        <v>At Mount Zoomer</v>
      </c>
      <c r="D531" s="27">
        <v>2008</v>
      </c>
    </row>
    <row r="532" spans="1:4" ht="12.75">
      <c r="A532" s="7" t="s">
        <v>3842</v>
      </c>
      <c r="B532" s="8">
        <v>74</v>
      </c>
      <c r="C532" s="9" t="str">
        <f>HYPERLINK("https://en.wikipedia.org/wiki/Apologies_to_the_Queen_Mary","Apologies to the Queen Mary")</f>
        <v>Apologies to the Queen Mary</v>
      </c>
      <c r="D532" s="7">
        <v>2005</v>
      </c>
    </row>
    <row r="533" spans="1:4" ht="12.75">
      <c r="A533" s="27" t="s">
        <v>3843</v>
      </c>
      <c r="B533" s="28">
        <v>55</v>
      </c>
      <c r="C533" s="29" t="str">
        <f>HYPERLINK("https://en.wikipedia.org/wiki/Cry_Cry_Cry_(Wolf_Parade_album)","Cry Cry Cry")</f>
        <v>Cry Cry Cry</v>
      </c>
      <c r="D533" s="27">
        <v>2017</v>
      </c>
    </row>
    <row r="534" spans="1:4" ht="12.75">
      <c r="A534" s="155"/>
      <c r="B534" s="156"/>
      <c r="C534" s="156"/>
      <c r="D534" s="161"/>
    </row>
    <row r="535" spans="1:4" ht="18">
      <c r="A535" s="112" t="str">
        <f>HYPERLINK("https://www.reddit.com/r/indieheads/comments/ev4j8k/top_ten_tuesday_the_wombats/","The Wombats")</f>
        <v>The Wombats</v>
      </c>
      <c r="B535" s="113">
        <v>43858</v>
      </c>
      <c r="C535" s="27"/>
      <c r="D535" s="116" t="s">
        <v>1</v>
      </c>
    </row>
    <row r="536" spans="1:4" ht="12.75">
      <c r="A536" s="114" t="s">
        <v>2</v>
      </c>
      <c r="B536" s="114" t="s">
        <v>3</v>
      </c>
      <c r="C536" s="114" t="s">
        <v>4</v>
      </c>
      <c r="D536" s="114" t="s">
        <v>5</v>
      </c>
    </row>
    <row r="537" spans="1:4" ht="12.75">
      <c r="A537" s="7" t="s">
        <v>3844</v>
      </c>
      <c r="B537" s="8">
        <v>178</v>
      </c>
      <c r="C537" s="9" t="str">
        <f>HYPERLINK("https://en.wikipedia.org/wiki/Glitterbug_(album)","Glitterbug")</f>
        <v>Glitterbug</v>
      </c>
      <c r="D537" s="7">
        <v>2015</v>
      </c>
    </row>
    <row r="538" spans="1:4" ht="12.75">
      <c r="A538" s="27" t="s">
        <v>3845</v>
      </c>
      <c r="B538" s="28">
        <v>154</v>
      </c>
      <c r="C538" s="29" t="str">
        <f>HYPERLINK("https://en.wikipedia.org/wiki/A_Guide_to_Love,_Loss_%26_Desperation","A Guide to Love, Loss &amp; Desperation")</f>
        <v>A Guide to Love, Loss &amp; Desperation</v>
      </c>
      <c r="D538" s="27">
        <v>2007</v>
      </c>
    </row>
    <row r="539" spans="1:4" ht="12.75">
      <c r="A539" s="7" t="s">
        <v>3846</v>
      </c>
      <c r="B539" s="8">
        <v>141</v>
      </c>
      <c r="C539" s="9" t="str">
        <f>HYPERLINK("https://en.wikipedia.org/wiki/This_Modern_Glitch","This Modern Glitch")</f>
        <v>This Modern Glitch</v>
      </c>
      <c r="D539" s="7">
        <v>2010</v>
      </c>
    </row>
    <row r="540" spans="1:4" ht="12.75">
      <c r="A540" s="27" t="s">
        <v>3847</v>
      </c>
      <c r="B540" s="28">
        <v>132</v>
      </c>
      <c r="C540" s="29" t="str">
        <f>HYPERLINK("https://en.wikipedia.org/wiki/A_Guide_to_Love,_Loss_%26_Desperation","A Guide to Love, Loss &amp; Desperation")</f>
        <v>A Guide to Love, Loss &amp; Desperation</v>
      </c>
      <c r="D540" s="27">
        <v>2007</v>
      </c>
    </row>
    <row r="541" spans="1:4" ht="12.75">
      <c r="A541" s="7" t="s">
        <v>3848</v>
      </c>
      <c r="B541" s="8">
        <v>119</v>
      </c>
      <c r="C541" s="9" t="str">
        <f t="shared" ref="C541:C542" si="58">HYPERLINK("https://en.wikipedia.org/wiki/This_Modern_Glitch","This Modern Glitch")</f>
        <v>This Modern Glitch</v>
      </c>
      <c r="D541" s="7">
        <v>2011</v>
      </c>
    </row>
    <row r="542" spans="1:4" ht="12.75">
      <c r="A542" s="27" t="s">
        <v>3849</v>
      </c>
      <c r="B542" s="28">
        <v>116</v>
      </c>
      <c r="C542" s="29" t="str">
        <f t="shared" si="58"/>
        <v>This Modern Glitch</v>
      </c>
      <c r="D542" s="27">
        <v>2011</v>
      </c>
    </row>
    <row r="543" spans="1:4" ht="12.75">
      <c r="A543" s="7" t="s">
        <v>3850</v>
      </c>
      <c r="B543" s="8">
        <v>116</v>
      </c>
      <c r="C543" s="9" t="str">
        <f>HYPERLINK("https://en.wikipedia.org/wiki/Glitterbug_(album)","Glitterbug")</f>
        <v>Glitterbug</v>
      </c>
      <c r="D543" s="7">
        <v>2013</v>
      </c>
    </row>
    <row r="544" spans="1:4" ht="12.75">
      <c r="A544" s="27" t="s">
        <v>3851</v>
      </c>
      <c r="B544" s="28">
        <v>105</v>
      </c>
      <c r="C544" s="29" t="str">
        <f>HYPERLINK("https://en.wikipedia.org/wiki/A_Guide_to_Love,_Loss_%26_Desperation","A Guide to Love, Loss &amp; Desperation")</f>
        <v>A Guide to Love, Loss &amp; Desperation</v>
      </c>
      <c r="D544" s="27">
        <v>2007</v>
      </c>
    </row>
    <row r="545" spans="1:4" ht="12.75">
      <c r="A545" s="7" t="s">
        <v>3852</v>
      </c>
      <c r="B545" s="8">
        <v>99</v>
      </c>
      <c r="C545" s="9" t="str">
        <f>HYPERLINK("https://en.wikipedia.org/wiki/Beautiful_People_Will_Ruin_Your_Life","Beautiful People Will Ruin Your Life")</f>
        <v>Beautiful People Will Ruin Your Life</v>
      </c>
      <c r="D545" s="7">
        <v>2017</v>
      </c>
    </row>
    <row r="546" spans="1:4" ht="12.75">
      <c r="A546" s="27" t="s">
        <v>3853</v>
      </c>
      <c r="B546" s="28">
        <v>82</v>
      </c>
      <c r="C546" s="29" t="str">
        <f>HYPERLINK("https://en.wikipedia.org/wiki/Glitterbug_(album)","Glitterbug")</f>
        <v>Glitterbug</v>
      </c>
      <c r="D546" s="27">
        <v>2015</v>
      </c>
    </row>
    <row r="547" spans="1:4" ht="12.75">
      <c r="A547" s="155"/>
      <c r="B547" s="156"/>
      <c r="C547" s="156"/>
      <c r="D547" s="161"/>
    </row>
    <row r="548" spans="1:4" ht="18">
      <c r="A548" s="112" t="s">
        <v>3854</v>
      </c>
      <c r="B548" s="118">
        <v>44495</v>
      </c>
      <c r="C548" s="27"/>
      <c r="D548" s="116" t="s">
        <v>1</v>
      </c>
    </row>
    <row r="549" spans="1:4" ht="12.75">
      <c r="A549" s="114" t="s">
        <v>2</v>
      </c>
      <c r="B549" s="114" t="s">
        <v>3</v>
      </c>
      <c r="C549" s="114" t="s">
        <v>4</v>
      </c>
      <c r="D549" s="114" t="s">
        <v>5</v>
      </c>
    </row>
    <row r="550" spans="1:4" ht="12.75">
      <c r="A550" s="7" t="s">
        <v>3855</v>
      </c>
      <c r="B550" s="8">
        <v>70</v>
      </c>
      <c r="C550" s="9" t="s">
        <v>3856</v>
      </c>
      <c r="D550" s="7">
        <v>2003</v>
      </c>
    </row>
    <row r="551" spans="1:4" ht="12.75">
      <c r="A551" s="27" t="s">
        <v>2453</v>
      </c>
      <c r="B551" s="28">
        <v>63</v>
      </c>
      <c r="C551" s="29" t="s">
        <v>3856</v>
      </c>
      <c r="D551" s="27">
        <v>2003</v>
      </c>
    </row>
    <row r="552" spans="1:4" ht="12.75">
      <c r="A552" s="7" t="s">
        <v>3857</v>
      </c>
      <c r="B552" s="8">
        <v>53</v>
      </c>
      <c r="C552" s="9" t="s">
        <v>3856</v>
      </c>
      <c r="D552" s="7">
        <v>2003</v>
      </c>
    </row>
    <row r="553" spans="1:4" ht="12.75">
      <c r="A553" s="27" t="s">
        <v>3858</v>
      </c>
      <c r="B553" s="28">
        <v>52</v>
      </c>
      <c r="C553" s="29" t="s">
        <v>3856</v>
      </c>
      <c r="D553" s="27">
        <v>2003</v>
      </c>
    </row>
    <row r="554" spans="1:4" ht="12.75">
      <c r="A554" s="7" t="s">
        <v>3859</v>
      </c>
      <c r="B554" s="8">
        <v>51</v>
      </c>
      <c r="C554" s="9" t="s">
        <v>3856</v>
      </c>
      <c r="D554" s="7">
        <v>2003</v>
      </c>
    </row>
    <row r="555" spans="1:4" ht="12.75">
      <c r="A555" s="27" t="s">
        <v>3860</v>
      </c>
      <c r="B555" s="28">
        <v>46</v>
      </c>
      <c r="C555" s="29" t="s">
        <v>3856</v>
      </c>
      <c r="D555" s="27">
        <v>2003</v>
      </c>
    </row>
    <row r="556" spans="1:4" ht="12.75">
      <c r="A556" s="7" t="s">
        <v>3861</v>
      </c>
      <c r="B556" s="8">
        <v>38</v>
      </c>
      <c r="C556" s="9" t="s">
        <v>3862</v>
      </c>
      <c r="D556" s="7">
        <v>1996</v>
      </c>
    </row>
    <row r="557" spans="1:4" ht="12.75">
      <c r="A557" s="27" t="s">
        <v>3863</v>
      </c>
      <c r="B557" s="28">
        <v>28</v>
      </c>
      <c r="C557" s="29" t="s">
        <v>3856</v>
      </c>
      <c r="D557" s="27">
        <v>2003</v>
      </c>
    </row>
    <row r="558" spans="1:4" ht="12.75">
      <c r="A558" s="7" t="s">
        <v>3864</v>
      </c>
      <c r="B558" s="8">
        <v>27</v>
      </c>
      <c r="C558" s="9" t="s">
        <v>3862</v>
      </c>
      <c r="D558" s="7">
        <v>1996</v>
      </c>
    </row>
    <row r="559" spans="1:4" ht="12.75">
      <c r="A559" s="27" t="s">
        <v>3865</v>
      </c>
      <c r="B559" s="28">
        <v>22</v>
      </c>
      <c r="C559" s="29" t="s">
        <v>3856</v>
      </c>
      <c r="D559" s="27">
        <v>2003</v>
      </c>
    </row>
    <row r="560" spans="1:4" ht="12.75">
      <c r="A560" s="155"/>
      <c r="B560" s="156"/>
      <c r="C560" s="156"/>
      <c r="D560" s="161"/>
    </row>
    <row r="561" spans="1:4" ht="18">
      <c r="A561" s="112" t="str">
        <f>HYPERLINK("https://www.reddit.com/r/indieheads/comments/a56k4b/top_ten_tuesday_wye_oak/","Wye Oak")</f>
        <v>Wye Oak</v>
      </c>
      <c r="B561" s="118">
        <v>43445</v>
      </c>
      <c r="C561" s="27"/>
      <c r="D561" s="116" t="s">
        <v>1</v>
      </c>
    </row>
    <row r="562" spans="1:4" ht="12.75">
      <c r="A562" s="114" t="s">
        <v>2</v>
      </c>
      <c r="B562" s="114" t="s">
        <v>3</v>
      </c>
      <c r="C562" s="114" t="s">
        <v>4</v>
      </c>
      <c r="D562" s="114" t="s">
        <v>5</v>
      </c>
    </row>
    <row r="563" spans="1:4" ht="12.75">
      <c r="A563" s="7" t="s">
        <v>3866</v>
      </c>
      <c r="B563" s="8">
        <v>74</v>
      </c>
      <c r="C563" s="9" t="str">
        <f>HYPERLINK("https://en.wikipedia.org/wiki/Civilian_(Wye_Oak_album)","Civilian")</f>
        <v>Civilian</v>
      </c>
      <c r="D563" s="7">
        <v>2011</v>
      </c>
    </row>
    <row r="564" spans="1:4" ht="12.75">
      <c r="A564" s="27" t="s">
        <v>3867</v>
      </c>
      <c r="B564" s="28">
        <v>45</v>
      </c>
      <c r="C564" s="29" t="str">
        <f>HYPERLINK("https://en.wikipedia.org/wiki/Shriek_(Wye_Oak_album)","Shriek")</f>
        <v>Shriek</v>
      </c>
      <c r="D564" s="27">
        <v>2014</v>
      </c>
    </row>
    <row r="565" spans="1:4" ht="12.75">
      <c r="A565" s="7" t="s">
        <v>3868</v>
      </c>
      <c r="B565" s="8">
        <v>43</v>
      </c>
      <c r="C565" s="9" t="str">
        <f>HYPERLINK("https://en.wikipedia.org/wiki/Tween_(Wye_Oak_album)","Tween")</f>
        <v>Tween</v>
      </c>
      <c r="D565" s="7">
        <v>2016</v>
      </c>
    </row>
    <row r="566" spans="1:4" ht="12.75">
      <c r="A566" s="27" t="s">
        <v>3869</v>
      </c>
      <c r="B566" s="28">
        <v>36</v>
      </c>
      <c r="C566" s="27"/>
      <c r="D566" s="27">
        <v>2012</v>
      </c>
    </row>
    <row r="567" spans="1:4" ht="12.75">
      <c r="A567" s="7" t="s">
        <v>3870</v>
      </c>
      <c r="B567" s="8">
        <v>34</v>
      </c>
      <c r="C567" s="9" t="str">
        <f t="shared" ref="C567:C568" si="59">HYPERLINK("https://en.wikipedia.org/wiki/Civilian_(Wye_Oak_album)","Civilian")</f>
        <v>Civilian</v>
      </c>
      <c r="D567" s="7">
        <v>2011</v>
      </c>
    </row>
    <row r="568" spans="1:4" ht="12.75">
      <c r="A568" s="27" t="s">
        <v>3871</v>
      </c>
      <c r="B568" s="28">
        <v>30</v>
      </c>
      <c r="C568" s="29" t="str">
        <f t="shared" si="59"/>
        <v>Civilian</v>
      </c>
      <c r="D568" s="27">
        <v>2011</v>
      </c>
    </row>
    <row r="569" spans="1:4" ht="12.75">
      <c r="A569" s="7" t="s">
        <v>3727</v>
      </c>
      <c r="B569" s="8">
        <v>29</v>
      </c>
      <c r="C569" s="9" t="str">
        <f>HYPERLINK("https://en.wikipedia.org/wiki/Shriek_(Wye_Oak_album)","Shriek")</f>
        <v>Shriek</v>
      </c>
      <c r="D569" s="7">
        <v>2014</v>
      </c>
    </row>
    <row r="570" spans="1:4" ht="12.75">
      <c r="A570" s="27" t="s">
        <v>3872</v>
      </c>
      <c r="B570" s="28">
        <v>28</v>
      </c>
      <c r="C570" s="29" t="str">
        <f t="shared" ref="C570:C571" si="60">HYPERLINK("https://en.wikipedia.org/wiki/Tween_(Wye_Oak_album)","Tween")</f>
        <v>Tween</v>
      </c>
      <c r="D570" s="27">
        <v>2016</v>
      </c>
    </row>
    <row r="571" spans="1:4" ht="12.75">
      <c r="A571" s="7" t="s">
        <v>3873</v>
      </c>
      <c r="B571" s="8">
        <v>24</v>
      </c>
      <c r="C571" s="9" t="str">
        <f t="shared" si="60"/>
        <v>Tween</v>
      </c>
      <c r="D571" s="7">
        <v>2016</v>
      </c>
    </row>
    <row r="572" spans="1:4" ht="12.75">
      <c r="A572" s="27" t="s">
        <v>3874</v>
      </c>
      <c r="B572" s="28">
        <v>22</v>
      </c>
      <c r="C572" s="29" t="str">
        <f>HYPERLINK("https://en.wikipedia.org/wiki/The_Louder_I_Call,_The_Faster_It_Runs","The Louder I Call, The Faster It Runs")</f>
        <v>The Louder I Call, The Faster It Runs</v>
      </c>
      <c r="D572" s="27">
        <v>2018</v>
      </c>
    </row>
    <row r="573" spans="1:4" ht="12.75">
      <c r="A573" s="155"/>
      <c r="B573" s="156"/>
      <c r="C573" s="156"/>
      <c r="D573" s="161"/>
    </row>
    <row r="574" spans="1:4" ht="18">
      <c r="A574" s="112" t="str">
        <f>HYPERLINK("https://www.reddit.com/r/indieheads/comments/80lx01/top_ten_tuesday_xiu_xiu/","Xiu Xiu")</f>
        <v>Xiu Xiu</v>
      </c>
      <c r="B574" s="113">
        <v>43158</v>
      </c>
      <c r="C574" s="27"/>
      <c r="D574" s="27"/>
    </row>
    <row r="575" spans="1:4" ht="12.75">
      <c r="A575" s="114" t="s">
        <v>2</v>
      </c>
      <c r="B575" s="114" t="s">
        <v>3</v>
      </c>
      <c r="C575" s="114" t="s">
        <v>4</v>
      </c>
      <c r="D575" s="114" t="s">
        <v>5</v>
      </c>
    </row>
    <row r="576" spans="1:4" ht="12.75">
      <c r="A576" s="7" t="s">
        <v>3875</v>
      </c>
      <c r="B576" s="8">
        <v>110</v>
      </c>
      <c r="C576" s="9" t="str">
        <f>HYPERLINK("https://en.wikipedia.org/wiki/Fabulous_Muscles","Fabulous Muscles")</f>
        <v>Fabulous Muscles</v>
      </c>
      <c r="D576" s="7">
        <v>2004</v>
      </c>
    </row>
    <row r="577" spans="1:4" ht="12.75">
      <c r="A577" s="27" t="s">
        <v>3876</v>
      </c>
      <c r="B577" s="28">
        <v>67</v>
      </c>
      <c r="C577" s="29" t="str">
        <f>HYPERLINK("https://en.wikipedia.org/wiki/A_Promise_(Xiu_Xiu_album)","A Promise")</f>
        <v>A Promise</v>
      </c>
      <c r="D577" s="27">
        <v>2003</v>
      </c>
    </row>
    <row r="578" spans="1:4" ht="12.75">
      <c r="A578" s="7" t="s">
        <v>3209</v>
      </c>
      <c r="B578" s="8">
        <v>63</v>
      </c>
      <c r="C578" s="9" t="str">
        <f>HYPERLINK("https://en.wikipedia.org/wiki/Forget_(Xiu_Xiu_album)","Forget")</f>
        <v>Forget</v>
      </c>
      <c r="D578" s="7">
        <v>2017</v>
      </c>
    </row>
    <row r="579" spans="1:4" ht="12.75">
      <c r="A579" s="27" t="s">
        <v>3877</v>
      </c>
      <c r="B579" s="28">
        <v>56</v>
      </c>
      <c r="C579" s="29" t="str">
        <f>HYPERLINK("https://en.wikipedia.org/wiki/A_Promise_(Xiu_Xiu_album)","A Promise")</f>
        <v>A Promise</v>
      </c>
      <c r="D579" s="27">
        <v>2003</v>
      </c>
    </row>
    <row r="580" spans="1:4" ht="12.75">
      <c r="A580" s="7" t="s">
        <v>3878</v>
      </c>
      <c r="B580" s="8">
        <v>52</v>
      </c>
      <c r="C580" s="9" t="str">
        <f>HYPERLINK("https://en.wikipedia.org/wiki/Knife_Play","Knife Play")</f>
        <v>Knife Play</v>
      </c>
      <c r="D580" s="7">
        <v>2002</v>
      </c>
    </row>
    <row r="581" spans="1:4" ht="12.75">
      <c r="A581" s="27" t="s">
        <v>3879</v>
      </c>
      <c r="B581" s="28">
        <v>52</v>
      </c>
      <c r="C581" s="29" t="str">
        <f t="shared" ref="C581:C583" si="61">HYPERLINK("https://en.wikipedia.org/wiki/Fabulous_Muscles","Fabulous Muscles")</f>
        <v>Fabulous Muscles</v>
      </c>
      <c r="D581" s="27">
        <v>2004</v>
      </c>
    </row>
    <row r="582" spans="1:4" ht="12.75">
      <c r="A582" s="7" t="s">
        <v>3880</v>
      </c>
      <c r="B582" s="8">
        <v>47</v>
      </c>
      <c r="C582" s="9" t="str">
        <f t="shared" si="61"/>
        <v>Fabulous Muscles</v>
      </c>
      <c r="D582" s="7">
        <v>2004</v>
      </c>
    </row>
    <row r="583" spans="1:4" ht="12.75">
      <c r="A583" s="27" t="s">
        <v>3881</v>
      </c>
      <c r="B583" s="28">
        <v>45</v>
      </c>
      <c r="C583" s="29" t="str">
        <f t="shared" si="61"/>
        <v>Fabulous Muscles</v>
      </c>
      <c r="D583" s="27">
        <v>2004</v>
      </c>
    </row>
    <row r="584" spans="1:4" ht="12.75">
      <c r="A584" s="7" t="s">
        <v>3882</v>
      </c>
      <c r="B584" s="8">
        <v>40</v>
      </c>
      <c r="C584" s="9" t="str">
        <f>HYPERLINK("https://en.wikipedia.org/wiki/La_For%C3%AAt_(album)","La Forêt")</f>
        <v>La Forêt</v>
      </c>
      <c r="D584" s="7">
        <v>2005</v>
      </c>
    </row>
    <row r="585" spans="1:4" ht="12.75">
      <c r="A585" s="27" t="s">
        <v>3883</v>
      </c>
      <c r="B585" s="28">
        <v>39</v>
      </c>
      <c r="C585" s="29" t="str">
        <f>HYPERLINK("https://en.wikipedia.org/wiki/Knife_Play","Knife Play")</f>
        <v>Knife Play</v>
      </c>
      <c r="D585" s="27">
        <v>2002</v>
      </c>
    </row>
    <row r="586" spans="1:4" ht="12.75">
      <c r="A586" s="155"/>
      <c r="B586" s="156"/>
      <c r="C586" s="156"/>
      <c r="D586" s="161"/>
    </row>
    <row r="587" spans="1:4" ht="18">
      <c r="A587" s="112" t="str">
        <f>HYPERLINK("https://www.reddit.com/r/indieheads/comments/bdt5pc/top_ten_tuesday_xtc/","XTC")</f>
        <v>XTC</v>
      </c>
      <c r="B587" s="113">
        <v>43571</v>
      </c>
      <c r="C587" s="27"/>
      <c r="D587" s="116" t="s">
        <v>1</v>
      </c>
    </row>
    <row r="588" spans="1:4" ht="12.75">
      <c r="A588" s="114" t="s">
        <v>2</v>
      </c>
      <c r="B588" s="114" t="s">
        <v>3</v>
      </c>
      <c r="C588" s="114" t="s">
        <v>4</v>
      </c>
      <c r="D588" s="114" t="s">
        <v>5</v>
      </c>
    </row>
    <row r="589" spans="1:4" ht="12.75">
      <c r="A589" s="7" t="s">
        <v>3884</v>
      </c>
      <c r="B589" s="8">
        <v>133</v>
      </c>
      <c r="C589" s="9" t="str">
        <f>HYPERLINK("https://en.wikipedia.org/wiki/English_Settlement","English Settlement")</f>
        <v>English Settlement</v>
      </c>
      <c r="D589" s="7">
        <v>1982</v>
      </c>
    </row>
    <row r="590" spans="1:4" ht="12.75">
      <c r="A590" s="27" t="s">
        <v>3885</v>
      </c>
      <c r="B590" s="28">
        <v>112</v>
      </c>
      <c r="C590" s="29" t="str">
        <f>HYPERLINK("https://en.wikipedia.org/wiki/Drums_and_Wires","Drums and Wires")</f>
        <v>Drums and Wires</v>
      </c>
      <c r="D590" s="27">
        <v>1979</v>
      </c>
    </row>
    <row r="591" spans="1:4" ht="12.75">
      <c r="A591" s="7" t="s">
        <v>3886</v>
      </c>
      <c r="B591" s="8">
        <v>96</v>
      </c>
      <c r="C591" s="9" t="str">
        <f t="shared" ref="C591:C593" si="62">HYPERLINK("https://en.wikipedia.org/wiki/Skylarking","Skylarking")</f>
        <v>Skylarking</v>
      </c>
      <c r="D591" s="7">
        <v>1986</v>
      </c>
    </row>
    <row r="592" spans="1:4" ht="12.75">
      <c r="A592" s="27" t="s">
        <v>3887</v>
      </c>
      <c r="B592" s="28">
        <v>95</v>
      </c>
      <c r="C592" s="29" t="str">
        <f t="shared" si="62"/>
        <v>Skylarking</v>
      </c>
      <c r="D592" s="27">
        <v>1986</v>
      </c>
    </row>
    <row r="593" spans="1:4" ht="12.75">
      <c r="A593" s="7" t="s">
        <v>3888</v>
      </c>
      <c r="B593" s="8">
        <v>81</v>
      </c>
      <c r="C593" s="9" t="str">
        <f t="shared" si="62"/>
        <v>Skylarking</v>
      </c>
      <c r="D593" s="7">
        <v>1986</v>
      </c>
    </row>
    <row r="594" spans="1:4" ht="12.75">
      <c r="A594" s="27" t="s">
        <v>3889</v>
      </c>
      <c r="B594" s="28">
        <v>74</v>
      </c>
      <c r="C594" s="29" t="str">
        <f>HYPERLINK("https://en.wikipedia.org/wiki/Oranges_%26_Lemons_(album)","Oranges &amp; Lemons")</f>
        <v>Oranges &amp; Lemons</v>
      </c>
      <c r="D594" s="27">
        <v>1989</v>
      </c>
    </row>
    <row r="595" spans="1:4" ht="12.75">
      <c r="A595" s="7" t="s">
        <v>3890</v>
      </c>
      <c r="B595" s="8">
        <v>69</v>
      </c>
      <c r="C595" s="9" t="str">
        <f>HYPERLINK("https://en.wikipedia.org/wiki/Black_Sea_(XTC_album)","Black Sea")</f>
        <v>Black Sea</v>
      </c>
      <c r="D595" s="7">
        <v>1980</v>
      </c>
    </row>
    <row r="596" spans="1:4" ht="12.75">
      <c r="A596" s="27" t="s">
        <v>3891</v>
      </c>
      <c r="B596" s="28">
        <v>68</v>
      </c>
      <c r="C596" s="29" t="str">
        <f>HYPERLINK("https://en.wikipedia.org/wiki/Nonsuch_(album)","Nonsuch")</f>
        <v>Nonsuch</v>
      </c>
      <c r="D596" s="27">
        <v>1992</v>
      </c>
    </row>
    <row r="597" spans="1:4" ht="12.75">
      <c r="A597" s="7" t="s">
        <v>3892</v>
      </c>
      <c r="B597" s="8">
        <v>64</v>
      </c>
      <c r="C597" s="9" t="str">
        <f t="shared" ref="C597:C598" si="63">HYPERLINK("https://en.wikipedia.org/wiki/Skylarking","Skylarking")</f>
        <v>Skylarking</v>
      </c>
      <c r="D597" s="7">
        <v>1986</v>
      </c>
    </row>
    <row r="598" spans="1:4" ht="12.75">
      <c r="A598" s="27" t="s">
        <v>3893</v>
      </c>
      <c r="B598" s="28">
        <v>58</v>
      </c>
      <c r="C598" s="29" t="str">
        <f t="shared" si="63"/>
        <v>Skylarking</v>
      </c>
      <c r="D598" s="27">
        <v>1986</v>
      </c>
    </row>
    <row r="599" spans="1:4" ht="12.75">
      <c r="A599" s="155"/>
      <c r="B599" s="156"/>
      <c r="C599" s="156"/>
      <c r="D599" s="161"/>
    </row>
    <row r="600" spans="1:4" ht="18">
      <c r="A600" s="112" t="str">
        <f>HYPERLINK("https://www.reddit.com/r/indieheads/comments/7nmgzc/top_ten_tuesday_the_xx/","The xx")</f>
        <v>The xx</v>
      </c>
      <c r="B600" s="113">
        <v>43102</v>
      </c>
      <c r="C600" s="27"/>
      <c r="D600" s="27"/>
    </row>
    <row r="601" spans="1:4" ht="12.75">
      <c r="A601" s="114" t="s">
        <v>2</v>
      </c>
      <c r="B601" s="114" t="s">
        <v>3</v>
      </c>
      <c r="C601" s="114" t="s">
        <v>4</v>
      </c>
      <c r="D601" s="114" t="s">
        <v>5</v>
      </c>
    </row>
    <row r="602" spans="1:4" ht="12.75">
      <c r="A602" s="7" t="s">
        <v>3894</v>
      </c>
      <c r="B602" s="8">
        <v>446</v>
      </c>
      <c r="C602" s="9" t="str">
        <f t="shared" ref="C602:C605" si="64">HYPERLINK("https://en.wikipedia.org/wiki/Xx_(album)","xx")</f>
        <v>xx</v>
      </c>
      <c r="D602" s="7">
        <v>2009</v>
      </c>
    </row>
    <row r="603" spans="1:4" ht="12.75">
      <c r="A603" s="27" t="s">
        <v>3895</v>
      </c>
      <c r="B603" s="28">
        <v>414</v>
      </c>
      <c r="C603" s="29" t="str">
        <f t="shared" si="64"/>
        <v>xx</v>
      </c>
      <c r="D603" s="27">
        <v>2009</v>
      </c>
    </row>
    <row r="604" spans="1:4" ht="12.75">
      <c r="A604" s="7" t="s">
        <v>3896</v>
      </c>
      <c r="B604" s="8">
        <v>412</v>
      </c>
      <c r="C604" s="9" t="str">
        <f t="shared" si="64"/>
        <v>xx</v>
      </c>
      <c r="D604" s="7">
        <v>2009</v>
      </c>
    </row>
    <row r="605" spans="1:4" ht="12.75">
      <c r="A605" s="27" t="s">
        <v>3897</v>
      </c>
      <c r="B605" s="28">
        <v>379</v>
      </c>
      <c r="C605" s="29" t="str">
        <f t="shared" si="64"/>
        <v>xx</v>
      </c>
      <c r="D605" s="27">
        <v>2009</v>
      </c>
    </row>
    <row r="606" spans="1:4" ht="12.75">
      <c r="A606" s="7" t="s">
        <v>3898</v>
      </c>
      <c r="B606" s="8">
        <v>339</v>
      </c>
      <c r="C606" s="9" t="str">
        <f>HYPERLINK("https://en.wikipedia.org/wiki/I_See_You_(The_xx_album)","I See You")</f>
        <v>I See You</v>
      </c>
      <c r="D606" s="7">
        <v>2016</v>
      </c>
    </row>
    <row r="607" spans="1:4" ht="12.75">
      <c r="A607" s="27" t="s">
        <v>3899</v>
      </c>
      <c r="B607" s="28">
        <v>268</v>
      </c>
      <c r="C607" s="29" t="str">
        <f>HYPERLINK("https://en.wikipedia.org/wiki/Coexist_(album)","Coexist")</f>
        <v>Coexist</v>
      </c>
      <c r="D607" s="27">
        <v>2012</v>
      </c>
    </row>
    <row r="608" spans="1:4" ht="12.75">
      <c r="A608" s="7" t="s">
        <v>3900</v>
      </c>
      <c r="B608" s="8">
        <v>246</v>
      </c>
      <c r="C608" s="9" t="str">
        <f>HYPERLINK("https://en.wikipedia.org/wiki/Xx_(album)","xx")</f>
        <v>xx</v>
      </c>
      <c r="D608" s="7">
        <v>2009</v>
      </c>
    </row>
    <row r="609" spans="1:4" ht="12.75">
      <c r="A609" s="27" t="s">
        <v>3901</v>
      </c>
      <c r="B609" s="28">
        <v>211</v>
      </c>
      <c r="C609" s="29" t="str">
        <f t="shared" ref="C609:C611" si="65">HYPERLINK("https://en.wikipedia.org/wiki/I_See_You_(The_xx_album)","I See You")</f>
        <v>I See You</v>
      </c>
      <c r="D609" s="27">
        <v>2017</v>
      </c>
    </row>
    <row r="610" spans="1:4" ht="12.75">
      <c r="A610" s="7" t="s">
        <v>3902</v>
      </c>
      <c r="B610" s="8">
        <v>191</v>
      </c>
      <c r="C610" s="9" t="str">
        <f t="shared" si="65"/>
        <v>I See You</v>
      </c>
      <c r="D610" s="7">
        <v>2017</v>
      </c>
    </row>
    <row r="611" spans="1:4" ht="12.75">
      <c r="A611" s="27" t="s">
        <v>2706</v>
      </c>
      <c r="B611" s="28">
        <v>185</v>
      </c>
      <c r="C611" s="29" t="str">
        <f t="shared" si="65"/>
        <v>I See You</v>
      </c>
      <c r="D611" s="27">
        <v>2017</v>
      </c>
    </row>
    <row r="612" spans="1:4" ht="12.75">
      <c r="A612" s="155"/>
      <c r="B612" s="156"/>
      <c r="C612" s="156"/>
      <c r="D612" s="161"/>
    </row>
    <row r="613" spans="1:4" ht="18">
      <c r="A613" s="112" t="str">
        <f>HYPERLINK("https://www.reddit.com/r/indieheads/comments/76xy80/top_ten_tuesday_yeah_yeah_yeahs/","Yeah Yeah Yeahs")</f>
        <v>Yeah Yeah Yeahs</v>
      </c>
      <c r="B613" s="118">
        <v>43025</v>
      </c>
      <c r="C613" s="27"/>
      <c r="D613" s="27"/>
    </row>
    <row r="614" spans="1:4" ht="12.75">
      <c r="A614" s="114" t="s">
        <v>2</v>
      </c>
      <c r="B614" s="114" t="s">
        <v>3</v>
      </c>
      <c r="C614" s="114" t="s">
        <v>4</v>
      </c>
      <c r="D614" s="114" t="s">
        <v>5</v>
      </c>
    </row>
    <row r="615" spans="1:4" ht="12.75">
      <c r="A615" s="7" t="s">
        <v>3903</v>
      </c>
      <c r="B615" s="8">
        <v>231</v>
      </c>
      <c r="C615" s="9" t="str">
        <f t="shared" ref="C615:C616" si="66">HYPERLINK("https://en.wikipedia.org/wiki/Fever_to_Tell","Fever to Tell")</f>
        <v>Fever to Tell</v>
      </c>
      <c r="D615" s="7">
        <v>2003</v>
      </c>
    </row>
    <row r="616" spans="1:4" ht="12.75">
      <c r="A616" s="27" t="s">
        <v>3904</v>
      </c>
      <c r="B616" s="28">
        <v>209</v>
      </c>
      <c r="C616" s="29" t="str">
        <f t="shared" si="66"/>
        <v>Fever to Tell</v>
      </c>
      <c r="D616" s="27">
        <v>2003</v>
      </c>
    </row>
    <row r="617" spans="1:4" ht="12.75">
      <c r="A617" s="7" t="s">
        <v>3905</v>
      </c>
      <c r="B617" s="8">
        <v>104</v>
      </c>
      <c r="C617" s="9" t="str">
        <f>HYPERLINK("https://en.wikipedia.org/wiki/It%27s_Blitz!","It's Blitz!")</f>
        <v>It's Blitz!</v>
      </c>
      <c r="D617" s="7">
        <v>2009</v>
      </c>
    </row>
    <row r="618" spans="1:4" ht="12.75">
      <c r="A618" s="27" t="s">
        <v>3906</v>
      </c>
      <c r="B618" s="28">
        <v>104</v>
      </c>
      <c r="C618" s="29" t="str">
        <f>HYPERLINK("https://en.wikipedia.org/wiki/Show_Your_Bones","Show Your Bones")</f>
        <v>Show Your Bones</v>
      </c>
      <c r="D618" s="27">
        <v>2006</v>
      </c>
    </row>
    <row r="619" spans="1:4" ht="12.75">
      <c r="A619" s="7" t="s">
        <v>3907</v>
      </c>
      <c r="B619" s="8">
        <v>100</v>
      </c>
      <c r="C619" s="9" t="str">
        <f>HYPERLINK("https://en.wikipedia.org/wiki/Fever_to_Tell","Fever to Tell")</f>
        <v>Fever to Tell</v>
      </c>
      <c r="D619" s="7">
        <v>2003</v>
      </c>
    </row>
    <row r="620" spans="1:4" ht="12.75">
      <c r="A620" s="27" t="s">
        <v>3908</v>
      </c>
      <c r="B620" s="28">
        <v>87</v>
      </c>
      <c r="C620" s="29" t="str">
        <f>HYPERLINK("https://en.wikipedia.org/wiki/It%27s_Blitz!","It's Blitz!")</f>
        <v>It's Blitz!</v>
      </c>
      <c r="D620" s="27">
        <v>2009</v>
      </c>
    </row>
    <row r="621" spans="1:4" ht="12.75">
      <c r="A621" s="7" t="s">
        <v>3909</v>
      </c>
      <c r="B621" s="8">
        <v>86</v>
      </c>
      <c r="C621" s="9" t="str">
        <f>HYPERLINK("https://en.wikipedia.org/wiki/Show_Your_Bones","Show Your Bones")</f>
        <v>Show Your Bones</v>
      </c>
      <c r="D621" s="7">
        <v>2006</v>
      </c>
    </row>
    <row r="622" spans="1:4" ht="12.75">
      <c r="A622" s="27" t="s">
        <v>3910</v>
      </c>
      <c r="B622" s="28">
        <v>62</v>
      </c>
      <c r="C622" s="29" t="str">
        <f>HYPERLINK("https://en.wikipedia.org/wiki/It%27s_Blitz!","It's Blitz!")</f>
        <v>It's Blitz!</v>
      </c>
      <c r="D622" s="27">
        <v>2009</v>
      </c>
    </row>
    <row r="623" spans="1:4" ht="12.75">
      <c r="A623" s="7" t="s">
        <v>1618</v>
      </c>
      <c r="B623" s="8">
        <v>62</v>
      </c>
      <c r="C623" s="9" t="str">
        <f>HYPERLINK("https://en.wikipedia.org/wiki/Fever_to_Tell","Fever to Tell")</f>
        <v>Fever to Tell</v>
      </c>
      <c r="D623" s="7">
        <v>2003</v>
      </c>
    </row>
    <row r="624" spans="1:4" ht="12.75">
      <c r="A624" s="27" t="s">
        <v>3911</v>
      </c>
      <c r="B624" s="28">
        <v>61</v>
      </c>
      <c r="C624" s="29" t="str">
        <f>HYPERLINK("https://en.wikipedia.org/wiki/Mosquito_(Yeah_Yeah_Yeahs_album)","Mosquito")</f>
        <v>Mosquito</v>
      </c>
      <c r="D624" s="27">
        <v>2013</v>
      </c>
    </row>
    <row r="625" spans="1:4" ht="12.75">
      <c r="A625" s="155"/>
      <c r="B625" s="156"/>
      <c r="C625" s="156"/>
      <c r="D625" s="161"/>
    </row>
    <row r="626" spans="1:4" ht="18">
      <c r="A626" s="112" t="str">
        <f>HYPERLINK("https://www.reddit.com/r/indieheads/comments/3rdzsp/top_ten_tuesday_yo_la_tengo/","Yo La Tengo")</f>
        <v>Yo La Tengo</v>
      </c>
      <c r="B626" s="115">
        <v>42311</v>
      </c>
      <c r="C626" s="27"/>
      <c r="D626" s="27"/>
    </row>
    <row r="627" spans="1:4" ht="12.75">
      <c r="A627" s="114" t="s">
        <v>2</v>
      </c>
      <c r="B627" s="114" t="s">
        <v>3</v>
      </c>
      <c r="C627" s="114" t="s">
        <v>4</v>
      </c>
      <c r="D627" s="114" t="s">
        <v>5</v>
      </c>
    </row>
    <row r="628" spans="1:4" ht="12.75">
      <c r="A628" s="9" t="str">
        <f>HYPERLINK("https://www.youtube.com/watch?v=vtOfYeJFq0k","Autumn Sweater")</f>
        <v>Autumn Sweater</v>
      </c>
      <c r="B628" s="8">
        <v>127</v>
      </c>
      <c r="C628" s="9" t="str">
        <f t="shared" ref="C628:C629" si="67">HYPERLINK("https://en.wikipedia.org/wiki/I_Can_Hear_the_Heart_Beating_as_One","I Can Hear the Heart Beating as One")</f>
        <v>I Can Hear the Heart Beating as One</v>
      </c>
      <c r="D628" s="7">
        <v>1997</v>
      </c>
    </row>
    <row r="629" spans="1:4" ht="12.75">
      <c r="A629" s="29" t="str">
        <f>HYPERLINK("https://www.youtube.com/watch?v=zASj0vOml4E","Sugarcube")</f>
        <v>Sugarcube</v>
      </c>
      <c r="B629" s="28">
        <v>84</v>
      </c>
      <c r="C629" s="29" t="str">
        <f t="shared" si="67"/>
        <v>I Can Hear the Heart Beating as One</v>
      </c>
      <c r="D629" s="27">
        <v>1997</v>
      </c>
    </row>
    <row r="630" spans="1:4" ht="12.75">
      <c r="A630" s="9" t="str">
        <f>HYPERLINK("https://www.youtube.com/watch?v=bOylOEGY9M4","Our Way to Fall")</f>
        <v>Our Way to Fall</v>
      </c>
      <c r="B630" s="8">
        <v>81</v>
      </c>
      <c r="C630" s="9" t="str">
        <f>HYPERLINK("https://en.wikipedia.org/wiki/And_Then_Nothing_Turned_Itself_Inside-Out","And Then Nothing Turned Itself Inside-Out")</f>
        <v>And Then Nothing Turned Itself Inside-Out</v>
      </c>
      <c r="D630" s="7">
        <v>2000</v>
      </c>
    </row>
    <row r="631" spans="1:4" ht="12.75">
      <c r="A631" s="29" t="str">
        <f>HYPERLINK("https://www.youtube.com/watch?v=u36GXnvLTA8","From a Motel 6")</f>
        <v>From a Motel 6</v>
      </c>
      <c r="B631" s="28">
        <v>78</v>
      </c>
      <c r="C631" s="29" t="str">
        <f t="shared" ref="C631:C633" si="68">HYPERLINK("https://en.wikipedia.org/wiki/Painful_(album)","Painful")</f>
        <v>Painful</v>
      </c>
      <c r="D631" s="27">
        <v>1993</v>
      </c>
    </row>
    <row r="632" spans="1:4" ht="12.75">
      <c r="A632" s="9" t="str">
        <f>HYPERLINK("https://www.youtube.com/watch?v=1V0gxdQ-Ep8","Big Day Coming")</f>
        <v>Big Day Coming</v>
      </c>
      <c r="B632" s="8">
        <v>70</v>
      </c>
      <c r="C632" s="9" t="str">
        <f t="shared" si="68"/>
        <v>Painful</v>
      </c>
      <c r="D632" s="7">
        <v>1993</v>
      </c>
    </row>
    <row r="633" spans="1:4" ht="12.75">
      <c r="A633" s="29" t="str">
        <f>HYPERLINK("https://www.youtube.com/watch?v=wOun_zMorHg","I Heard You Looking")</f>
        <v>I Heard You Looking</v>
      </c>
      <c r="B633" s="28">
        <v>70</v>
      </c>
      <c r="C633" s="29" t="str">
        <f t="shared" si="68"/>
        <v>Painful</v>
      </c>
      <c r="D633" s="27">
        <v>1993</v>
      </c>
    </row>
    <row r="634" spans="1:4" ht="12.75">
      <c r="A634" s="9" t="str">
        <f>HYPERLINK("https://www.youtube.com/watch?v=V0WRaVVf3E4","Cherry Chapstick")</f>
        <v>Cherry Chapstick</v>
      </c>
      <c r="B634" s="8">
        <v>54</v>
      </c>
      <c r="C634" s="9" t="str">
        <f>HYPERLINK("https://en.wikipedia.org/wiki/And_Then_Nothing_Turned_Itself_Inside-Out","And Then Nothing Turned Itself Inside-Out")</f>
        <v>And Then Nothing Turned Itself Inside-Out</v>
      </c>
      <c r="D634" s="7">
        <v>2000</v>
      </c>
    </row>
    <row r="635" spans="1:4" ht="12.75">
      <c r="A635" s="29" t="str">
        <f>HYPERLINK("https://www.youtube.com/watch?v=2HYhokMf2P4","Pass the Hatchet, I Think I'm Goodkind")</f>
        <v>Pass the Hatchet, I Think I'm Goodkind</v>
      </c>
      <c r="B635" s="28">
        <v>52</v>
      </c>
      <c r="C635" s="29" t="str">
        <f>HYPERLINK("https://en.wikipedia.org/wiki/I_Am_Not_Afraid_of_You_and_I_Will_Beat_Your_Ass","I Am Not Afraid of You and I Will Beat Your Ass")</f>
        <v>I Am Not Afraid of You and I Will Beat Your Ass</v>
      </c>
      <c r="D635" s="27">
        <v>2006</v>
      </c>
    </row>
    <row r="636" spans="1:4" ht="12.75">
      <c r="A636" s="9" t="str">
        <f>HYPERLINK("https://www.youtube.com/watch?v=pBZrBitzubk","Blue Line Swinger")</f>
        <v>Blue Line Swinger</v>
      </c>
      <c r="B636" s="8">
        <v>50</v>
      </c>
      <c r="C636" s="9" t="str">
        <f>HYPERLINK("https://en.wikipedia.org/wiki/Electr-O-Pura","Electr-o-Pura")</f>
        <v>Electr-o-Pura</v>
      </c>
      <c r="D636" s="7">
        <v>1995</v>
      </c>
    </row>
    <row r="637" spans="1:4" ht="12.75">
      <c r="A637" s="29" t="str">
        <f>HYPERLINK("https://www.youtube.com/watch?v=u1iD_toho94","Nowhere Near")</f>
        <v>Nowhere Near</v>
      </c>
      <c r="B637" s="28">
        <v>48</v>
      </c>
      <c r="C637" s="29" t="str">
        <f>HYPERLINK("https://en.wikipedia.org/wiki/Painful_(album)","Painful")</f>
        <v>Painful</v>
      </c>
      <c r="D637" s="27">
        <v>1993</v>
      </c>
    </row>
    <row r="638" spans="1:4" ht="12.75">
      <c r="A638" s="155"/>
      <c r="B638" s="156"/>
      <c r="C638" s="156"/>
      <c r="D638" s="161"/>
    </row>
    <row r="639" spans="1:4" ht="18">
      <c r="A639" s="123" t="s">
        <v>3912</v>
      </c>
      <c r="B639" s="124">
        <v>44369</v>
      </c>
      <c r="C639" s="10"/>
      <c r="D639" s="125" t="s">
        <v>1</v>
      </c>
    </row>
    <row r="640" spans="1:4" ht="12.75">
      <c r="A640" s="126" t="s">
        <v>2</v>
      </c>
      <c r="B640" s="126" t="s">
        <v>3</v>
      </c>
      <c r="C640" s="126" t="s">
        <v>4</v>
      </c>
      <c r="D640" s="126" t="s">
        <v>5</v>
      </c>
    </row>
    <row r="641" spans="1:4" ht="12.75">
      <c r="A641" s="7" t="s">
        <v>3913</v>
      </c>
      <c r="B641" s="8">
        <v>207</v>
      </c>
      <c r="C641" s="9" t="s">
        <v>3914</v>
      </c>
      <c r="D641" s="7">
        <v>2018</v>
      </c>
    </row>
    <row r="642" spans="1:4" ht="12.75">
      <c r="A642" s="10" t="s">
        <v>3915</v>
      </c>
      <c r="B642" s="11">
        <v>172</v>
      </c>
      <c r="C642" s="12" t="s">
        <v>3916</v>
      </c>
      <c r="D642" s="10">
        <v>2020</v>
      </c>
    </row>
    <row r="643" spans="1:4" ht="12.75">
      <c r="A643" s="7" t="s">
        <v>3917</v>
      </c>
      <c r="B643" s="8">
        <v>162</v>
      </c>
      <c r="C643" s="9" t="s">
        <v>3916</v>
      </c>
      <c r="D643" s="7">
        <v>2020</v>
      </c>
    </row>
    <row r="644" spans="1:4" ht="12.75">
      <c r="A644" s="10" t="s">
        <v>3918</v>
      </c>
      <c r="B644" s="11">
        <v>99</v>
      </c>
      <c r="C644" s="12" t="s">
        <v>3914</v>
      </c>
      <c r="D644" s="10">
        <v>2018</v>
      </c>
    </row>
    <row r="645" spans="1:4" ht="12.75">
      <c r="A645" s="7" t="s">
        <v>3919</v>
      </c>
      <c r="B645" s="8">
        <v>84</v>
      </c>
      <c r="C645" s="9" t="s">
        <v>3916</v>
      </c>
      <c r="D645" s="7">
        <v>2020</v>
      </c>
    </row>
    <row r="646" spans="1:4" ht="12.75">
      <c r="A646" s="10" t="s">
        <v>3920</v>
      </c>
      <c r="B646" s="11">
        <v>83</v>
      </c>
      <c r="C646" s="12" t="s">
        <v>3914</v>
      </c>
      <c r="D646" s="10">
        <v>2018</v>
      </c>
    </row>
    <row r="647" spans="1:4" ht="12.75">
      <c r="A647" s="7" t="s">
        <v>3921</v>
      </c>
      <c r="B647" s="8">
        <v>82</v>
      </c>
      <c r="C647" s="9" t="s">
        <v>3922</v>
      </c>
      <c r="D647" s="7">
        <v>2015</v>
      </c>
    </row>
    <row r="648" spans="1:4" ht="12.75">
      <c r="A648" s="10" t="s">
        <v>3923</v>
      </c>
      <c r="B648" s="11">
        <v>60</v>
      </c>
      <c r="C648" s="12" t="s">
        <v>3916</v>
      </c>
      <c r="D648" s="10">
        <v>2020</v>
      </c>
    </row>
    <row r="649" spans="1:4" ht="12.75">
      <c r="A649" s="7" t="s">
        <v>3924</v>
      </c>
      <c r="B649" s="8">
        <v>55</v>
      </c>
      <c r="C649" s="9" t="s">
        <v>3914</v>
      </c>
      <c r="D649" s="7">
        <v>2018</v>
      </c>
    </row>
    <row r="650" spans="1:4" ht="12.75">
      <c r="A650" s="10" t="s">
        <v>3925</v>
      </c>
      <c r="B650" s="11">
        <v>48</v>
      </c>
      <c r="C650" s="12" t="s">
        <v>3916</v>
      </c>
      <c r="D650" s="10">
        <v>2020</v>
      </c>
    </row>
    <row r="651" spans="1:4" ht="12.75">
      <c r="A651" s="152"/>
      <c r="B651" s="153"/>
      <c r="C651" s="153"/>
      <c r="D651" s="154"/>
    </row>
  </sheetData>
  <mergeCells count="51">
    <mergeCell ref="A521:D521"/>
    <mergeCell ref="A534:D534"/>
    <mergeCell ref="A638:D638"/>
    <mergeCell ref="A651:D651"/>
    <mergeCell ref="A547:D547"/>
    <mergeCell ref="A560:D560"/>
    <mergeCell ref="A573:D573"/>
    <mergeCell ref="A586:D586"/>
    <mergeCell ref="A599:D599"/>
    <mergeCell ref="A612:D612"/>
    <mergeCell ref="A625:D625"/>
    <mergeCell ref="A456:D456"/>
    <mergeCell ref="A469:D469"/>
    <mergeCell ref="A482:D482"/>
    <mergeCell ref="A495:D495"/>
    <mergeCell ref="A508:D508"/>
    <mergeCell ref="A391:D391"/>
    <mergeCell ref="A404:D404"/>
    <mergeCell ref="A417:D417"/>
    <mergeCell ref="A430:D430"/>
    <mergeCell ref="A443:D443"/>
    <mergeCell ref="A326:D326"/>
    <mergeCell ref="A339:D339"/>
    <mergeCell ref="A352:D352"/>
    <mergeCell ref="A365:D365"/>
    <mergeCell ref="A378:D378"/>
    <mergeCell ref="A261:D261"/>
    <mergeCell ref="A274:D274"/>
    <mergeCell ref="A287:D287"/>
    <mergeCell ref="A300:D300"/>
    <mergeCell ref="A313:D313"/>
    <mergeCell ref="A196:D196"/>
    <mergeCell ref="A209:D209"/>
    <mergeCell ref="A222:D222"/>
    <mergeCell ref="A235:D235"/>
    <mergeCell ref="A248:D248"/>
    <mergeCell ref="A131:D131"/>
    <mergeCell ref="A144:D144"/>
    <mergeCell ref="A157:D157"/>
    <mergeCell ref="A170:D170"/>
    <mergeCell ref="A183:D183"/>
    <mergeCell ref="A66:D66"/>
    <mergeCell ref="A79:D79"/>
    <mergeCell ref="A92:D92"/>
    <mergeCell ref="A105:D105"/>
    <mergeCell ref="A118:D118"/>
    <mergeCell ref="A1:D1"/>
    <mergeCell ref="A14:D14"/>
    <mergeCell ref="A27:D27"/>
    <mergeCell ref="A40:D40"/>
    <mergeCell ref="A53:D53"/>
  </mergeCells>
  <hyperlinks>
    <hyperlink ref="A28" r:id="rId1" xr:uid="{00000000-0004-0000-0500-000000000000}"/>
    <hyperlink ref="D28" r:id="rId2" xr:uid="{00000000-0004-0000-0500-000001000000}"/>
    <hyperlink ref="C39" r:id="rId3" xr:uid="{00000000-0004-0000-0500-000002000000}"/>
    <hyperlink ref="A54" r:id="rId4" xr:uid="{00000000-0004-0000-0500-000003000000}"/>
    <hyperlink ref="D54" r:id="rId5" xr:uid="{00000000-0004-0000-0500-000004000000}"/>
    <hyperlink ref="C56" r:id="rId6" xr:uid="{00000000-0004-0000-0500-000005000000}"/>
    <hyperlink ref="C57" r:id="rId7" xr:uid="{00000000-0004-0000-0500-000006000000}"/>
    <hyperlink ref="C58" r:id="rId8" xr:uid="{00000000-0004-0000-0500-000007000000}"/>
    <hyperlink ref="C59" r:id="rId9" xr:uid="{00000000-0004-0000-0500-000008000000}"/>
    <hyperlink ref="C60" r:id="rId10" xr:uid="{00000000-0004-0000-0500-000009000000}"/>
    <hyperlink ref="C61" r:id="rId11" xr:uid="{00000000-0004-0000-0500-00000A000000}"/>
    <hyperlink ref="C62" r:id="rId12" xr:uid="{00000000-0004-0000-0500-00000B000000}"/>
    <hyperlink ref="C63" r:id="rId13" xr:uid="{00000000-0004-0000-0500-00000C000000}"/>
    <hyperlink ref="C64" r:id="rId14" xr:uid="{00000000-0004-0000-0500-00000D000000}"/>
    <hyperlink ref="C65" r:id="rId15" xr:uid="{00000000-0004-0000-0500-00000E000000}"/>
    <hyperlink ref="D67" r:id="rId16" xr:uid="{00000000-0004-0000-0500-00000F000000}"/>
    <hyperlink ref="A93" r:id="rId17" xr:uid="{00000000-0004-0000-0500-000010000000}"/>
    <hyperlink ref="D93" r:id="rId18" xr:uid="{00000000-0004-0000-0500-000011000000}"/>
    <hyperlink ref="C95" r:id="rId19" xr:uid="{00000000-0004-0000-0500-000012000000}"/>
    <hyperlink ref="C96" r:id="rId20" xr:uid="{00000000-0004-0000-0500-000013000000}"/>
    <hyperlink ref="C98" r:id="rId21" xr:uid="{00000000-0004-0000-0500-000014000000}"/>
    <hyperlink ref="C99" r:id="rId22" xr:uid="{00000000-0004-0000-0500-000015000000}"/>
    <hyperlink ref="C100" r:id="rId23" xr:uid="{00000000-0004-0000-0500-000016000000}"/>
    <hyperlink ref="C101" r:id="rId24" xr:uid="{00000000-0004-0000-0500-000017000000}"/>
    <hyperlink ref="C102" r:id="rId25" xr:uid="{00000000-0004-0000-0500-000018000000}"/>
    <hyperlink ref="C103" r:id="rId26" xr:uid="{00000000-0004-0000-0500-000019000000}"/>
    <hyperlink ref="C104" r:id="rId27" xr:uid="{00000000-0004-0000-0500-00001A000000}"/>
    <hyperlink ref="A106" r:id="rId28" xr:uid="{00000000-0004-0000-0500-00001B000000}"/>
    <hyperlink ref="C108" r:id="rId29" xr:uid="{00000000-0004-0000-0500-00001C000000}"/>
    <hyperlink ref="C109" r:id="rId30" xr:uid="{00000000-0004-0000-0500-00001D000000}"/>
    <hyperlink ref="C110" r:id="rId31" xr:uid="{00000000-0004-0000-0500-00001E000000}"/>
    <hyperlink ref="C111" r:id="rId32" xr:uid="{00000000-0004-0000-0500-00001F000000}"/>
    <hyperlink ref="C112" r:id="rId33" xr:uid="{00000000-0004-0000-0500-000020000000}"/>
    <hyperlink ref="C113" r:id="rId34" xr:uid="{00000000-0004-0000-0500-000021000000}"/>
    <hyperlink ref="C114" r:id="rId35" xr:uid="{00000000-0004-0000-0500-000022000000}"/>
    <hyperlink ref="C115" r:id="rId36" xr:uid="{00000000-0004-0000-0500-000023000000}"/>
    <hyperlink ref="C116" r:id="rId37" xr:uid="{00000000-0004-0000-0500-000024000000}"/>
    <hyperlink ref="C117" r:id="rId38" xr:uid="{00000000-0004-0000-0500-000025000000}"/>
    <hyperlink ref="A145" r:id="rId39" xr:uid="{00000000-0004-0000-0500-000026000000}"/>
    <hyperlink ref="A158" r:id="rId40" xr:uid="{00000000-0004-0000-0500-000027000000}"/>
    <hyperlink ref="D158" r:id="rId41" xr:uid="{00000000-0004-0000-0500-000028000000}"/>
    <hyperlink ref="C160" r:id="rId42" xr:uid="{00000000-0004-0000-0500-000029000000}"/>
    <hyperlink ref="C161" r:id="rId43" xr:uid="{00000000-0004-0000-0500-00002A000000}"/>
    <hyperlink ref="C162" r:id="rId44" xr:uid="{00000000-0004-0000-0500-00002B000000}"/>
    <hyperlink ref="C163" r:id="rId45" xr:uid="{00000000-0004-0000-0500-00002C000000}"/>
    <hyperlink ref="C164" r:id="rId46" xr:uid="{00000000-0004-0000-0500-00002D000000}"/>
    <hyperlink ref="C165" r:id="rId47" xr:uid="{00000000-0004-0000-0500-00002E000000}"/>
    <hyperlink ref="C166" r:id="rId48" xr:uid="{00000000-0004-0000-0500-00002F000000}"/>
    <hyperlink ref="C167" r:id="rId49" xr:uid="{00000000-0004-0000-0500-000030000000}"/>
    <hyperlink ref="C168" r:id="rId50" xr:uid="{00000000-0004-0000-0500-000031000000}"/>
    <hyperlink ref="A184" r:id="rId51" xr:uid="{00000000-0004-0000-0500-000032000000}"/>
    <hyperlink ref="D184" r:id="rId52" xr:uid="{00000000-0004-0000-0500-000033000000}"/>
    <hyperlink ref="C186" r:id="rId53" xr:uid="{00000000-0004-0000-0500-000034000000}"/>
    <hyperlink ref="C187" r:id="rId54" xr:uid="{00000000-0004-0000-0500-000035000000}"/>
    <hyperlink ref="C188" r:id="rId55" xr:uid="{00000000-0004-0000-0500-000036000000}"/>
    <hyperlink ref="C189" r:id="rId56" xr:uid="{00000000-0004-0000-0500-000037000000}"/>
    <hyperlink ref="C190" r:id="rId57" xr:uid="{00000000-0004-0000-0500-000038000000}"/>
    <hyperlink ref="C191" r:id="rId58" xr:uid="{00000000-0004-0000-0500-000039000000}"/>
    <hyperlink ref="C192" r:id="rId59" xr:uid="{00000000-0004-0000-0500-00003A000000}"/>
    <hyperlink ref="C193" r:id="rId60" xr:uid="{00000000-0004-0000-0500-00003B000000}"/>
    <hyperlink ref="C194" r:id="rId61" xr:uid="{00000000-0004-0000-0500-00003C000000}"/>
    <hyperlink ref="C195" r:id="rId62" xr:uid="{00000000-0004-0000-0500-00003D000000}"/>
    <hyperlink ref="D197" r:id="rId63" xr:uid="{00000000-0004-0000-0500-00003E000000}"/>
    <hyperlink ref="A223" r:id="rId64" xr:uid="{00000000-0004-0000-0500-00003F000000}"/>
    <hyperlink ref="D223" r:id="rId65" xr:uid="{00000000-0004-0000-0500-000040000000}"/>
    <hyperlink ref="C225" r:id="rId66" xr:uid="{00000000-0004-0000-0500-000041000000}"/>
    <hyperlink ref="C227" r:id="rId67" xr:uid="{00000000-0004-0000-0500-000042000000}"/>
    <hyperlink ref="C228" r:id="rId68" xr:uid="{00000000-0004-0000-0500-000043000000}"/>
    <hyperlink ref="C230" r:id="rId69" xr:uid="{00000000-0004-0000-0500-000044000000}"/>
    <hyperlink ref="C231" r:id="rId70" xr:uid="{00000000-0004-0000-0500-000045000000}"/>
    <hyperlink ref="C233" r:id="rId71" xr:uid="{00000000-0004-0000-0500-000046000000}"/>
    <hyperlink ref="C234" r:id="rId72" xr:uid="{00000000-0004-0000-0500-000047000000}"/>
    <hyperlink ref="D262" r:id="rId73" xr:uid="{00000000-0004-0000-0500-000048000000}"/>
    <hyperlink ref="A288" r:id="rId74" xr:uid="{00000000-0004-0000-0500-000049000000}"/>
    <hyperlink ref="D288" r:id="rId75" xr:uid="{00000000-0004-0000-0500-00004A000000}"/>
    <hyperlink ref="C290" r:id="rId76" xr:uid="{00000000-0004-0000-0500-00004B000000}"/>
    <hyperlink ref="C291" r:id="rId77" xr:uid="{00000000-0004-0000-0500-00004C000000}"/>
    <hyperlink ref="C292" r:id="rId78" xr:uid="{00000000-0004-0000-0500-00004D000000}"/>
    <hyperlink ref="C293" r:id="rId79" xr:uid="{00000000-0004-0000-0500-00004E000000}"/>
    <hyperlink ref="C294" r:id="rId80" xr:uid="{00000000-0004-0000-0500-00004F000000}"/>
    <hyperlink ref="C295" r:id="rId81" xr:uid="{00000000-0004-0000-0500-000050000000}"/>
    <hyperlink ref="C296" r:id="rId82" xr:uid="{00000000-0004-0000-0500-000051000000}"/>
    <hyperlink ref="C297" r:id="rId83" xr:uid="{00000000-0004-0000-0500-000052000000}"/>
    <hyperlink ref="C298" r:id="rId84" xr:uid="{00000000-0004-0000-0500-000053000000}"/>
    <hyperlink ref="C299" r:id="rId85" xr:uid="{00000000-0004-0000-0500-000054000000}"/>
    <hyperlink ref="D301" r:id="rId86" xr:uid="{00000000-0004-0000-0500-000055000000}"/>
    <hyperlink ref="D314" r:id="rId87" xr:uid="{00000000-0004-0000-0500-000056000000}"/>
    <hyperlink ref="A327" r:id="rId88" xr:uid="{00000000-0004-0000-0500-000057000000}"/>
    <hyperlink ref="D340" r:id="rId89" xr:uid="{00000000-0004-0000-0500-000058000000}"/>
    <hyperlink ref="A353" r:id="rId90" xr:uid="{00000000-0004-0000-0500-000059000000}"/>
    <hyperlink ref="D353" r:id="rId91" xr:uid="{00000000-0004-0000-0500-00005A000000}"/>
    <hyperlink ref="C357" r:id="rId92" xr:uid="{00000000-0004-0000-0500-00005B000000}"/>
    <hyperlink ref="C359" r:id="rId93" xr:uid="{00000000-0004-0000-0500-00005C000000}"/>
    <hyperlink ref="C360" r:id="rId94" xr:uid="{00000000-0004-0000-0500-00005D000000}"/>
    <hyperlink ref="C361" r:id="rId95" xr:uid="{00000000-0004-0000-0500-00005E000000}"/>
    <hyperlink ref="C362" r:id="rId96" xr:uid="{00000000-0004-0000-0500-00005F000000}"/>
    <hyperlink ref="D366" r:id="rId97" xr:uid="{00000000-0004-0000-0500-000060000000}"/>
    <hyperlink ref="D379" r:id="rId98" xr:uid="{00000000-0004-0000-0500-000061000000}"/>
    <hyperlink ref="A392" r:id="rId99" xr:uid="{00000000-0004-0000-0500-000062000000}"/>
    <hyperlink ref="D392" r:id="rId100" xr:uid="{00000000-0004-0000-0500-000063000000}"/>
    <hyperlink ref="C394" r:id="rId101" xr:uid="{00000000-0004-0000-0500-000064000000}"/>
    <hyperlink ref="C395" r:id="rId102" xr:uid="{00000000-0004-0000-0500-000065000000}"/>
    <hyperlink ref="C396" r:id="rId103" xr:uid="{00000000-0004-0000-0500-000066000000}"/>
    <hyperlink ref="C397" r:id="rId104" xr:uid="{00000000-0004-0000-0500-000067000000}"/>
    <hyperlink ref="C398" r:id="rId105" xr:uid="{00000000-0004-0000-0500-000068000000}"/>
    <hyperlink ref="C399" r:id="rId106" xr:uid="{00000000-0004-0000-0500-000069000000}"/>
    <hyperlink ref="C400" r:id="rId107" xr:uid="{00000000-0004-0000-0500-00006A000000}"/>
    <hyperlink ref="C401" r:id="rId108" xr:uid="{00000000-0004-0000-0500-00006B000000}"/>
    <hyperlink ref="C402" r:id="rId109" xr:uid="{00000000-0004-0000-0500-00006C000000}"/>
    <hyperlink ref="C403" r:id="rId110" xr:uid="{00000000-0004-0000-0500-00006D000000}"/>
    <hyperlink ref="D418" r:id="rId111" xr:uid="{00000000-0004-0000-0500-00006E000000}"/>
    <hyperlink ref="A431" r:id="rId112" xr:uid="{00000000-0004-0000-0500-00006F000000}"/>
    <hyperlink ref="D431" r:id="rId113" xr:uid="{00000000-0004-0000-0500-000070000000}"/>
    <hyperlink ref="C433" r:id="rId114" xr:uid="{00000000-0004-0000-0500-000071000000}"/>
    <hyperlink ref="C434" r:id="rId115" xr:uid="{00000000-0004-0000-0500-000072000000}"/>
    <hyperlink ref="C435" r:id="rId116" xr:uid="{00000000-0004-0000-0500-000073000000}"/>
    <hyperlink ref="C436" r:id="rId117" xr:uid="{00000000-0004-0000-0500-000074000000}"/>
    <hyperlink ref="C437" r:id="rId118" xr:uid="{00000000-0004-0000-0500-000075000000}"/>
    <hyperlink ref="C438" r:id="rId119" xr:uid="{00000000-0004-0000-0500-000076000000}"/>
    <hyperlink ref="C439" r:id="rId120" xr:uid="{00000000-0004-0000-0500-000077000000}"/>
    <hyperlink ref="C440" r:id="rId121" xr:uid="{00000000-0004-0000-0500-000078000000}"/>
    <hyperlink ref="C441" r:id="rId122" xr:uid="{00000000-0004-0000-0500-000079000000}"/>
    <hyperlink ref="C442" r:id="rId123" xr:uid="{00000000-0004-0000-0500-00007A000000}"/>
    <hyperlink ref="D470" r:id="rId124" xr:uid="{00000000-0004-0000-0500-00007B000000}"/>
    <hyperlink ref="C473" location="null!A1" display="Limbo, Panto" xr:uid="{00000000-0004-0000-0500-00007C000000}"/>
    <hyperlink ref="D496" r:id="rId125" xr:uid="{00000000-0004-0000-0500-00007D000000}"/>
    <hyperlink ref="D509" r:id="rId126" xr:uid="{00000000-0004-0000-0500-00007E000000}"/>
    <hyperlink ref="D522" r:id="rId127" xr:uid="{00000000-0004-0000-0500-00007F000000}"/>
    <hyperlink ref="D535" r:id="rId128" xr:uid="{00000000-0004-0000-0500-000080000000}"/>
    <hyperlink ref="A548" r:id="rId129" xr:uid="{00000000-0004-0000-0500-000081000000}"/>
    <hyperlink ref="D548" r:id="rId130" xr:uid="{00000000-0004-0000-0500-000082000000}"/>
    <hyperlink ref="C550" r:id="rId131" xr:uid="{00000000-0004-0000-0500-000083000000}"/>
    <hyperlink ref="C551" r:id="rId132" xr:uid="{00000000-0004-0000-0500-000084000000}"/>
    <hyperlink ref="C552" r:id="rId133" xr:uid="{00000000-0004-0000-0500-000085000000}"/>
    <hyperlink ref="C553" r:id="rId134" xr:uid="{00000000-0004-0000-0500-000086000000}"/>
    <hyperlink ref="C554" r:id="rId135" xr:uid="{00000000-0004-0000-0500-000087000000}"/>
    <hyperlink ref="C555" r:id="rId136" xr:uid="{00000000-0004-0000-0500-000088000000}"/>
    <hyperlink ref="C556" r:id="rId137" xr:uid="{00000000-0004-0000-0500-000089000000}"/>
    <hyperlink ref="C557" r:id="rId138" xr:uid="{00000000-0004-0000-0500-00008A000000}"/>
    <hyperlink ref="C558" r:id="rId139" xr:uid="{00000000-0004-0000-0500-00008B000000}"/>
    <hyperlink ref="C559" r:id="rId140" xr:uid="{00000000-0004-0000-0500-00008C000000}"/>
    <hyperlink ref="D561" r:id="rId141" xr:uid="{00000000-0004-0000-0500-00008D000000}"/>
    <hyperlink ref="D587" r:id="rId142" xr:uid="{00000000-0004-0000-0500-00008E000000}"/>
    <hyperlink ref="A639" r:id="rId143" xr:uid="{00000000-0004-0000-0500-00008F000000}"/>
    <hyperlink ref="D639" r:id="rId144" xr:uid="{00000000-0004-0000-0500-000090000000}"/>
    <hyperlink ref="C641" r:id="rId145" xr:uid="{00000000-0004-0000-0500-000091000000}"/>
    <hyperlink ref="C642" r:id="rId146" xr:uid="{00000000-0004-0000-0500-000092000000}"/>
    <hyperlink ref="C643" r:id="rId147" xr:uid="{00000000-0004-0000-0500-000093000000}"/>
    <hyperlink ref="C644" r:id="rId148" xr:uid="{00000000-0004-0000-0500-000094000000}"/>
    <hyperlink ref="C645" r:id="rId149" xr:uid="{00000000-0004-0000-0500-000095000000}"/>
    <hyperlink ref="C646" r:id="rId150" xr:uid="{00000000-0004-0000-0500-000096000000}"/>
    <hyperlink ref="C647" r:id="rId151" xr:uid="{00000000-0004-0000-0500-000097000000}"/>
    <hyperlink ref="C648" r:id="rId152" xr:uid="{00000000-0004-0000-0500-000098000000}"/>
    <hyperlink ref="C649" r:id="rId153" xr:uid="{00000000-0004-0000-0500-000099000000}"/>
    <hyperlink ref="C650" r:id="rId154" xr:uid="{00000000-0004-0000-0500-00009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 - B</vt:lpstr>
      <vt:lpstr>C - F</vt:lpstr>
      <vt:lpstr>G - L</vt:lpstr>
      <vt:lpstr>M - O</vt:lpstr>
      <vt:lpstr>P - S</vt:lpstr>
      <vt:lpstr>T - 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Finnegan</cp:lastModifiedBy>
  <dcterms:modified xsi:type="dcterms:W3CDTF">2023-11-11T07:17:03Z</dcterms:modified>
</cp:coreProperties>
</file>