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binary" PartName="/xl/commentsmeta0"/>
  <Override ContentType="application/binary" PartName="/xl/commentsmeta1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PS Prov 2022" sheetId="1" r:id="rId4"/>
    <sheet state="visible" name="Sheet1" sheetId="2" r:id="rId5"/>
    <sheet state="visible" name="Sub Koordinator Modif" sheetId="3" r:id="rId6"/>
    <sheet state="hidden" name="Copy of Sub Koordinator Modif" sheetId="4" r:id="rId7"/>
    <sheet state="visible" name="Petunjuk Isi" sheetId="5" r:id="rId8"/>
    <sheet state="hidden" name="BPS Prov 2021 xxxx" sheetId="6" r:id="rId9"/>
  </sheets>
  <definedNames/>
  <calcPr/>
  <extLst>
    <ext uri="GoogleSheetsCustomDataVersion1">
      <go:sheetsCustomData xmlns:go="http://customooxmlschemas.google.com/" r:id="rId10" roundtripDataSignature="AMtx7mhDtYKReR4BVRMldo1cTuTfVBgyzQ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N185">
      <text>
        <t xml:space="preserve">======
ID#AAAATrmOdsk
Binagram 1500    (2021-12-31 03:13:49)
22-23</t>
      </text>
    </comment>
  </commentList>
  <extLst>
    <ext uri="GoogleSheetsCustomDataVersion1">
      <go:sheetsCustomData xmlns:go="http://customooxmlschemas.google.com/" r:id="rId1" roundtripDataSignature="AMtx7mi7WBKt/HOmsdCxVaEaTkf+E3SaQg=="/>
    </ext>
  </extL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L437">
      <text>
        <t xml:space="preserve">APRIL
1. Indikator Makro Sosial Ekonomi Provinsi Jambi Triwulan 4-2020 (NonARC-RSE)
2. Indeks Pembangunan Manusia Provinsi jambi 2020 (NonARC-RSE)
JUNI
3. Indikator Makro Sosial Ekonomi Provinsi Jambi Triwulan 1-2021 (NonARC-RSE)
======</t>
      </text>
    </comment>
    <comment authorId="0" ref="M437">
      <text>
        <t xml:space="preserve">SEPTEMBER
4. Indikator Makro Sosial Ekonomi Provinsi Jambi Triwulan 2-2021 (NonARC-RSE)
5. Statistik Daerah Provinsi Jambi (ARC-RSE)
======</t>
      </text>
    </comment>
    <comment authorId="0" ref="N437">
      <text>
        <t xml:space="preserve">OKTOBER
6. Tinjauan Ekonomi Kabupaten/Kota se-Provinsi Jambi 2016-2020 (ARC-NonRSE)
7. Analisis Isu Terkini 2019 (NonARC-NonRSE)
NOVEMBER
8. Analisis Pertumbuhan Ekonomi Provinsi Jambi 2020 (ARC-NonRSE)
9. Indikator Kesejahteraan Rakyat Provinsi Jambi 2021 (ARC-RSE)
10. Analisis isu Terkini 2020 (NonARC-NonRSE)
DESEMBER
11. Indikator Ekonomi Provinsi Jambi 2020 (ARC-NonRSE)
12.  Indikator Makro Sosial Ekonomi Provinsi Jambi Triwulan 3-2021 (NonARC-RSE)
13. Indikator Tujuan Pembangunan Berkelanjutan provinsi Jambi 2020 (nonARC-RSE)
14. Analisis Isu Terkini 2021 (NonARC-NonRSE)
15. IPM Provinsi Jambi 2021 (NonARC-RSE)
======</t>
      </text>
    </comment>
    <comment authorId="0" ref="M440">
      <text>
        <t xml:space="preserve">Statda
======</t>
      </text>
    </comment>
    <comment authorId="0" ref="N440">
      <text>
        <t xml:space="preserve">TE, Analisis PE, Inkesra, IE
======</t>
      </text>
    </comment>
    <comment authorId="0" ref="L442">
      <text>
        <t xml:space="preserve">1. Indikator Makro Sosial Ekonomi Provinsi Jambi Triwulan 4-2020 (NonARC-RSE)
2. Indikator Makro Sosial Ekonomi Provinsi Jambi Triwulan 1-2021 (NonARC-RSE)
3. Indeks Pembangunan Manusia Provinsi jambi 2020 (NonARC-RSE)
======</t>
      </text>
    </comment>
    <comment authorId="0" ref="M442">
      <text>
        <t xml:space="preserve">4. Indikator Makro Sosial Ekonomi Provinsi Jambi Triwulan 2-2021 (NonARC-RSE)
5. Statistik Daerah Provinsi Jambi (ARC-RSE)
======</t>
      </text>
    </comment>
    <comment authorId="0" ref="N442">
      <text>
        <t xml:space="preserve">6. Indikator Kesejahteraan Rakyat Provinsi Jambi 2021 (ARC-RSE)
7. Indikator Makro Sosial Ekonomi Provinsi Jambi Triwulan 3-2021 (NonARC-RSE)
8. Indikator Tujuan Pembangunan Berkelanjutan provinsi Jambi 2020 (nonARC-RSE)
9. IPM Provinsi Jambi 2021 (NonARC-RSE)
======</t>
      </text>
    </comment>
    <comment authorId="0" ref="K443">
      <text>
        <t xml:space="preserve">1. Press Release IPM 2020
======</t>
      </text>
    </comment>
    <comment authorId="0" ref="O489">
      <text>
        <t xml:space="preserve">======
ID#AAAATi09-xM
Theresa Putri    (2021-12-22 07:48:33)
seharusnya 35.825. Di tw lalu sudah diperbaiki</t>
      </text>
    </comment>
    <comment authorId="0" ref="R482">
      <text>
        <t xml:space="preserve">======
ID#AAAATi09-ug
Theresa Putri    (2021-12-22 06:39:53)
1 publikasi produksi batal rilis</t>
      </text>
    </comment>
    <comment authorId="0" ref="R489">
      <text>
        <t xml:space="preserve">======
ID#AAAATi09-uc
Theresa Putri    (2021-12-22 06:39:30)
per tanggal 22/12/21</t>
      </text>
    </comment>
    <comment authorId="0" ref="Q205">
      <text>
        <t xml:space="preserve">======
ID#AAAAQnDLVLs
Poppi marini    (2021-10-05 03:32:18)
krn ketika pemasangan target awal, jadwal pelaksanaan lapangan berbeda dg ketika pelaksanaan.  sehingga realisasi berbeda dg target</t>
      </text>
    </comment>
    <comment authorId="0" ref="K206">
      <text>
        <t xml:space="preserve">======
ID#AAAAL7fK9o4
Poppi marini    (2021-04-07 01:19:31)
26 data dari bulan desember</t>
      </text>
    </comment>
    <comment authorId="0" ref="K204">
      <text>
        <t xml:space="preserve">======
ID#AAAAL7fK9ok
Poppi marini    (2021-04-07 01:15:45)
Listing 2021 = 123 BS + sampel tw 4-2020 489</t>
      </text>
    </comment>
  </commentList>
  <extLst>
    <ext uri="GoogleSheetsCustomDataVersion1">
      <go:sheetsCustomData xmlns:go="http://customooxmlschemas.google.com/" r:id="rId1" roundtripDataSignature="AMtx7mhLKZ13Afb+NXM0WZPGuRFIfg7XOA=="/>
    </ext>
  </extL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L435">
      <text>
        <t xml:space="preserve">APRIL
1. Indikator Makro Sosial Ekonomi Provinsi Jambi Triwulan 4-2020 (NonARC-RSE)
2. Indeks Pembangunan Manusia Provinsi jambi 2020 (NonARC-RSE)
JUNI
3. Indikator Makro Sosial Ekonomi Provinsi Jambi Triwulan 1-2021 (NonARC-RSE)
======</t>
      </text>
    </comment>
    <comment authorId="0" ref="M435">
      <text>
        <t xml:space="preserve">SEPTEMBER
4. Indikator Makro Sosial Ekonomi Provinsi Jambi Triwulan 2-2021 (NonARC-RSE)
5. Statistik Daerah Provinsi Jambi (ARC-RSE)
======</t>
      </text>
    </comment>
    <comment authorId="0" ref="N435">
      <text>
        <t xml:space="preserve">OKTOBER
6. Tinjauan Ekonomi Kabupaten/Kota se-Provinsi Jambi 2016-2020 (ARC-NonRSE)
7. Analisis Isu Terkini 2019 (NonARC-NonRSE)
NOVEMBER
8. Analisis Pertumbuhan Ekonomi Provinsi Jambi 2020 (ARC-NonRSE)
9. Indikator Kesejahteraan Rakyat Provinsi Jambi 2021 (ARC-RSE)
10. Analisis isu Terkini 2020 (NonARC-NonRSE)
DESEMBER
11. Indikator Ekonomi Provinsi Jambi 2020 (ARC-NonRSE)
12.  Indikator Makro Sosial Ekonomi Provinsi Jambi Triwulan 3-2021 (NonARC-RSE)
13. Indikator Tujuan Pembangunan Berkelanjutan provinsi Jambi 2020 (nonARC-RSE)
14. Analisis Isu Terkini 2021 (NonARC-NonRSE)
15. IPM Provinsi Jambi 2021 (NonARC-RSE)
======</t>
      </text>
    </comment>
    <comment authorId="0" ref="M438">
      <text>
        <t xml:space="preserve">Statda
======</t>
      </text>
    </comment>
    <comment authorId="0" ref="N438">
      <text>
        <t xml:space="preserve">TE, Analisis PE, Inkesra, IE
======</t>
      </text>
    </comment>
    <comment authorId="0" ref="L440">
      <text>
        <t xml:space="preserve">1. Indikator Makro Sosial Ekonomi Provinsi Jambi Triwulan 4-2020 (NonARC-RSE)
2. Indikator Makro Sosial Ekonomi Provinsi Jambi Triwulan 1-2021 (NonARC-RSE)
3. Indeks Pembangunan Manusia Provinsi jambi 2020 (NonARC-RSE)
======</t>
      </text>
    </comment>
    <comment authorId="0" ref="M440">
      <text>
        <t xml:space="preserve">4. Indikator Makro Sosial Ekonomi Provinsi Jambi Triwulan 2-2021 (NonARC-RSE)
5. Statistik Daerah Provinsi Jambi (ARC-RSE)
======</t>
      </text>
    </comment>
    <comment authorId="0" ref="N440">
      <text>
        <t xml:space="preserve">6. Indikator Kesejahteraan Rakyat Provinsi Jambi 2021 (ARC-RSE)
7. Indikator Makro Sosial Ekonomi Provinsi Jambi Triwulan 3-2021 (NonARC-RSE)
8. Indikator Tujuan Pembangunan Berkelanjutan provinsi Jambi 2020 (nonARC-RSE)
9. IPM Provinsi Jambi 2021 (NonARC-RSE)
======</t>
      </text>
    </comment>
    <comment authorId="0" ref="K441">
      <text>
        <t xml:space="preserve">1. Press Release IPM 2020
======</t>
      </text>
    </comment>
  </commentList>
</comments>
</file>

<file path=xl/sharedStrings.xml><?xml version="1.0" encoding="utf-8"?>
<sst xmlns="http://schemas.openxmlformats.org/spreadsheetml/2006/main" count="2953" uniqueCount="481">
  <si>
    <t>FORM RENCANA AKSI BPS PROVINSI TAHUN 2022</t>
  </si>
  <si>
    <t>Kepala BPS Provinsi Jambi</t>
  </si>
  <si>
    <t>Tujuan/Sasaran/Indikator</t>
  </si>
  <si>
    <t>PK</t>
  </si>
  <si>
    <t>Capaian Kinerja</t>
  </si>
  <si>
    <t>Satuan</t>
  </si>
  <si>
    <t>Target</t>
  </si>
  <si>
    <t>Realisasi</t>
  </si>
  <si>
    <t>Kumulatif</t>
  </si>
  <si>
    <t>Terhadap target setahun</t>
  </si>
  <si>
    <t>TW I</t>
  </si>
  <si>
    <t>TW II</t>
  </si>
  <si>
    <t>TW III</t>
  </si>
  <si>
    <t>TW IV</t>
  </si>
  <si>
    <t>(13)</t>
  </si>
  <si>
    <t>(14)</t>
  </si>
  <si>
    <t>(15)</t>
  </si>
  <si>
    <t>(16)</t>
  </si>
  <si>
    <t>(17)</t>
  </si>
  <si>
    <t>(18)</t>
  </si>
  <si>
    <t>(19)</t>
  </si>
  <si>
    <t>(20)</t>
  </si>
  <si>
    <t>(21)</t>
  </si>
  <si>
    <t>(22)</t>
  </si>
  <si>
    <t>(23)</t>
  </si>
  <si>
    <t>(24)</t>
  </si>
  <si>
    <t>(25)</t>
  </si>
  <si>
    <t>(26)</t>
  </si>
  <si>
    <t>(27)</t>
  </si>
  <si>
    <t>(28)</t>
  </si>
  <si>
    <t>T1</t>
  </si>
  <si>
    <t>Menyediakan Data Statistik untuk dimanfaatkan sebagai dasar pembangunan</t>
  </si>
  <si>
    <t>1.1.</t>
  </si>
  <si>
    <t>Meningkatnya Pemanfaatan data statistik yang berkualitas</t>
  </si>
  <si>
    <t>Persentase Pengguna data yang menggunakan data BPS sebagai dasar perencanaan dan evaluasi pembangunan nasional</t>
  </si>
  <si>
    <t>Persen</t>
  </si>
  <si>
    <t>IPDS</t>
  </si>
  <si>
    <t>Persentase publikasi statistik yang menerapkan standard akurasi sebagai dasar perencanaan dan evaluasi pembangunan nasional</t>
  </si>
  <si>
    <t>Bidang : Sosial; Produksi; Distribusi; Neraca</t>
  </si>
  <si>
    <r>
      <rPr>
        <rFont val="Calibri"/>
        <b/>
        <color theme="1"/>
        <sz val="11.0"/>
      </rPr>
      <t xml:space="preserve">Rata-Rata Capaian Kinerja Sasaran 1.1 </t>
    </r>
    <r>
      <rPr>
        <rFont val="Calibri"/>
        <b/>
        <color theme="1"/>
        <sz val="11.0"/>
      </rPr>
      <t>→</t>
    </r>
  </si>
  <si>
    <t>T2</t>
  </si>
  <si>
    <t>Meningkatnya kolaborasi, integrasi, sinkronisasi dan standardisasi dalam penyelenggaraan SSN</t>
  </si>
  <si>
    <t>2.1.</t>
  </si>
  <si>
    <t>Penguatan Komitmen K/L/D/I terhadap SSN</t>
  </si>
  <si>
    <t>Persentase K/L/D/I yang melaksanakan rekomendasi kegiatan statistik</t>
  </si>
  <si>
    <t>Persentase penyusunan metadata sektoral dan khusus oleh K/L/D/I sesuai standar</t>
  </si>
  <si>
    <r>
      <rPr>
        <rFont val="Calibri"/>
        <b/>
        <color theme="1"/>
        <sz val="11.0"/>
      </rPr>
      <t xml:space="preserve">Rata-Rata Capaian Kinerja Sasaran 2.1 </t>
    </r>
    <r>
      <rPr>
        <rFont val="Calibri"/>
        <b/>
        <color theme="1"/>
        <sz val="11.0"/>
      </rPr>
      <t>→</t>
    </r>
  </si>
  <si>
    <t>T3</t>
  </si>
  <si>
    <t>Meningkatnya Pelayanan prima dalam penyelenggaraan SSN</t>
  </si>
  <si>
    <t>Penguatan Statistik Sektoral K/L/D/I</t>
  </si>
  <si>
    <t>Persentase K/L/D/I yang mampu menyelenggarakan statistik sektoral secara mandiri sesuai NSPK</t>
  </si>
  <si>
    <r>
      <rPr>
        <rFont val="Calibri"/>
        <b/>
        <color theme="1"/>
        <sz val="11.0"/>
      </rPr>
      <t xml:space="preserve">Rata-Rata Capaian Kinerja Sasaran 3.1 </t>
    </r>
    <r>
      <rPr>
        <rFont val="Calibri"/>
        <b/>
        <color theme="1"/>
        <sz val="11.0"/>
      </rPr>
      <t>→</t>
    </r>
  </si>
  <si>
    <t>T4</t>
  </si>
  <si>
    <t>Penguatan tata kelola kelembagaan dan reformasi birokrasi</t>
  </si>
  <si>
    <t>SDM Statistik yang Unggul dan berdaya saing dalam kerangka tata kelola kelembagaan</t>
  </si>
  <si>
    <t>Hasil Penilaian SAKIP oleh Inspektorat</t>
  </si>
  <si>
    <t>Point</t>
  </si>
  <si>
    <t>Umum</t>
  </si>
  <si>
    <t>Persentase kepuasan pengguna data terhadap sarana dan prasarana pelayanan BPS Provinsi</t>
  </si>
  <si>
    <r>
      <rPr>
        <rFont val="Calibri"/>
        <b/>
        <color theme="1"/>
        <sz val="11.0"/>
      </rPr>
      <t xml:space="preserve">Rata-Rata Capaian Kinerja Sasaran 4.1 </t>
    </r>
    <r>
      <rPr>
        <rFont val="Calibri"/>
        <b/>
        <color theme="1"/>
        <sz val="11.0"/>
      </rPr>
      <t>→</t>
    </r>
  </si>
  <si>
    <r>
      <rPr>
        <rFont val="Calibri"/>
        <b/>
        <color theme="1"/>
        <sz val="11.0"/>
      </rPr>
      <t xml:space="preserve">Rata-Rata Capaian Kinerja BPS Provinsi </t>
    </r>
    <r>
      <rPr>
        <rFont val="Calibri"/>
        <b/>
        <color theme="1"/>
        <sz val="11.0"/>
      </rPr>
      <t>→</t>
    </r>
  </si>
  <si>
    <t>Kepala Bagian Umum</t>
  </si>
  <si>
    <t>Target Kumulatif</t>
  </si>
  <si>
    <t>Realisasi Kumulatif</t>
  </si>
  <si>
    <t>Terhadap target triwulan</t>
  </si>
  <si>
    <t>Jumlah Laporan Dukuman Manajemen</t>
  </si>
  <si>
    <t>Laporan</t>
  </si>
  <si>
    <t>Jumlah Laporan Dukuman Manajemen yang tepat waktu</t>
  </si>
  <si>
    <t>Persentase Realisasi anggaran terhadap Pagu</t>
  </si>
  <si>
    <t>Persentase Sarana Prasarana Teknologi Informasi dan Komunikasi dalam Kondisi Baik</t>
  </si>
  <si>
    <t>Persentase Sarana Prasarana Lainnya dalam Kondisi Baik</t>
  </si>
  <si>
    <t>Persentase penyelesaian pelaksanaan pengadaan</t>
  </si>
  <si>
    <t>Jumlah Pengadaan Kendaraan Bermotor</t>
  </si>
  <si>
    <t>Unit</t>
  </si>
  <si>
    <t>Jumlah Pengadaan Perangkat Pengolah Data dan Komunikasi</t>
  </si>
  <si>
    <t>Jumlah Pengadaan Peralatan Fasilitas Perkantoran</t>
  </si>
  <si>
    <t>Luas Pembangunan/Renovasi Gedung dan bangunan</t>
  </si>
  <si>
    <t>m2</t>
  </si>
  <si>
    <t>Luas Pengadaan Tanah Untuk Pembangunan/Renovasi Gedung dan Bangunan</t>
  </si>
  <si>
    <t>Jumlah paket Pengadaan Barang dan Jasa Lainnya</t>
  </si>
  <si>
    <t>Paket</t>
  </si>
  <si>
    <r>
      <rPr>
        <rFont val="Calibri"/>
        <b/>
        <color theme="1"/>
        <sz val="11.0"/>
      </rPr>
      <t xml:space="preserve">Rata-Rata Capaian Kinerja </t>
    </r>
    <r>
      <rPr>
        <rFont val="Calibri"/>
        <b/>
        <color theme="1"/>
        <sz val="11.0"/>
      </rPr>
      <t>→</t>
    </r>
  </si>
  <si>
    <t>Koordinator Fungsi Statistik Sosial</t>
  </si>
  <si>
    <t>Target
Alokasi
Sampel</t>
  </si>
  <si>
    <t>Jumlah Publikasi/Laporan Statistik Sosial</t>
  </si>
  <si>
    <t>Publikasi/Laporan</t>
  </si>
  <si>
    <t>Jumlah Publikasi Statistik Sosial</t>
  </si>
  <si>
    <t>Publikasi</t>
  </si>
  <si>
    <t>Jumlah Laporan Statistik Sosial</t>
  </si>
  <si>
    <t>Jumlah Publikasi/Laporan Statistik Sosial yang Terbit Tepat Waktu</t>
  </si>
  <si>
    <t>Jumlah Publikasi Statistik Sosial yang terbit tepat waktu</t>
  </si>
  <si>
    <t>Jumlah Laporan Statistik Sosial yang terbit tepat waktu</t>
  </si>
  <si>
    <t>Jumlah Publikasi/Laporan SP 2020 yang Terbit Tepat Waktu</t>
  </si>
  <si>
    <t>Jumlah publikasi statistik sosial yang menerapkan standar akurasi sebagai dasar perencanaan dan evaluasi pembangunan nasional</t>
  </si>
  <si>
    <t>Jumlah Release data statistik sosial yang tepat waktu</t>
  </si>
  <si>
    <t>Rilis</t>
  </si>
  <si>
    <t>Persentase pemasukan dokumen (response rate) survei statistik sosial</t>
  </si>
  <si>
    <t>Jumlah pemasukan dokumen (response rate) survei statistik sosial dengan pendekatan rumah tangga</t>
  </si>
  <si>
    <t>Dokumen</t>
  </si>
  <si>
    <t>Jumlah pemasukan dokumen (response rate) survei Statistik sosial dengan pendekatan usaha</t>
  </si>
  <si>
    <t>Jumlah pemasukan dokumen (response rate) survei statistik sosial dengan pendekatan non rumah tangga non usaha</t>
  </si>
  <si>
    <t>Persentase pengolahan hasil pendataan kegiatan statistik sosial yang tepat waktu</t>
  </si>
  <si>
    <r>
      <rPr>
        <rFont val="Calibri"/>
        <b/>
        <color theme="1"/>
        <sz val="11.0"/>
      </rPr>
      <t xml:space="preserve">Rata-Rata Capaian Kinerja </t>
    </r>
    <r>
      <rPr>
        <rFont val="Calibri"/>
        <b/>
        <color theme="1"/>
        <sz val="11.0"/>
      </rPr>
      <t>→</t>
    </r>
  </si>
  <si>
    <t>Koordinator Fungsi Stastistik Produksi</t>
  </si>
  <si>
    <t>Jumlah Publikasi/Laporan Statistik produksi</t>
  </si>
  <si>
    <t>Jumlah Publikasi Statistik produksi</t>
  </si>
  <si>
    <t>Jumlah Laporan Statistik produksi</t>
  </si>
  <si>
    <t>Jumlah Publikasi/Laporan Statistik produksi yang Terbit Tepat Waktu</t>
  </si>
  <si>
    <t>Jumlah Publikasi Statistik produksi yang terbit tepat waktu</t>
  </si>
  <si>
    <t>Jumlah Laporan Statistik produksi yang terbit tepat waktu</t>
  </si>
  <si>
    <t>Jumlah publikasi statistik produksi yang menerapkan standar akurasi sebagai dasar perencanaan dan evaluasi pembangunan nasional</t>
  </si>
  <si>
    <t>Jumlah Release data statistik produksi yang tepat waktu</t>
  </si>
  <si>
    <t>Persentase pemasukan dokumen (response rate) survei statistik produksi</t>
  </si>
  <si>
    <t>Jumlah pemasukan dokumen (response rate) survei statistik produksi dengan pendekatan rumah tangga</t>
  </si>
  <si>
    <t>Jumlah pemasukan dokumen (response rate) survei Statistik produksi dengan pendekatan usaha</t>
  </si>
  <si>
    <t>Jumlah pemasukan dokumen (response rate) survei statistik produksi dengan pendekatan non rumah tangga non usaha</t>
  </si>
  <si>
    <t>Persentase pengolahan hasil pendataan kegiatan statistik produksi yang tepat waktu</t>
  </si>
  <si>
    <r>
      <rPr>
        <rFont val="Calibri"/>
        <b/>
        <color theme="1"/>
        <sz val="11.0"/>
      </rPr>
      <t xml:space="preserve">Rata-Rata Capaian Kinerja </t>
    </r>
    <r>
      <rPr>
        <rFont val="Calibri"/>
        <b/>
        <color theme="1"/>
        <sz val="11.0"/>
      </rPr>
      <t>→</t>
    </r>
  </si>
  <si>
    <t>Koordinator Fungsi Statistik Distribusi</t>
  </si>
  <si>
    <t>Jumlah Publikasi/Laporan Statistik distribusi</t>
  </si>
  <si>
    <t>Jumlah Publikasi Statistik distribusi</t>
  </si>
  <si>
    <t>Jumlah Laporan Statistik distribusi</t>
  </si>
  <si>
    <t>Jumlah Publikasi/Laporan Statistik distribusi yang Terbit Tepat Waktu</t>
  </si>
  <si>
    <t>Jumlah Publikasi Statistik distribusi yang terbit tepat waktu</t>
  </si>
  <si>
    <t>Jumlah Laporan Statistik distribusi yang terbit tepat waktu</t>
  </si>
  <si>
    <t>Jumlah publikasi statistik distribusi yang menerapkan standar akurasi sebagai dasar perencanaan dan evaluasi pembangunan nasional</t>
  </si>
  <si>
    <t>Jumlah Release data statistik distribusi yang tepat waktu</t>
  </si>
  <si>
    <t>Persentase pemasukan dokumen (response rate) survei statistik distribusi</t>
  </si>
  <si>
    <t>Jumlah pemasukan dokumen (response rate) survei statistik distribusi dengan pendekatan rumah tangga</t>
  </si>
  <si>
    <t>Jumlah pemasukan dokumen (response rate) survei Statistik distribusi dengan pendekatan usaha</t>
  </si>
  <si>
    <t>Jumlah pemasukan dokumen (response rate) survei statistik distribusi dengan pendekatan non rumah tangga non usaha</t>
  </si>
  <si>
    <t>Persentase pengolahan hasil pendataan kegiatan statistik distribusi yang tepat waktu</t>
  </si>
  <si>
    <r>
      <rPr>
        <rFont val="Calibri"/>
        <b/>
        <color theme="1"/>
        <sz val="11.0"/>
      </rPr>
      <t xml:space="preserve">Rata-Rata Capaian Kinerja </t>
    </r>
    <r>
      <rPr>
        <rFont val="Calibri"/>
        <b/>
        <color theme="1"/>
        <sz val="11.0"/>
      </rPr>
      <t>→</t>
    </r>
  </si>
  <si>
    <t>Koordinator Fungsi Neraca Wilayah dan Analisis Statistik</t>
  </si>
  <si>
    <t>Jumlah Publikasi/Laporan nerwilis</t>
  </si>
  <si>
    <t>Jumlah Publikasi nerwilis</t>
  </si>
  <si>
    <t>Jumlah Laporan nerwilis</t>
  </si>
  <si>
    <t>Jumlah Publikasi/Laporan nerwilis yang Terbit Tepat Waktu</t>
  </si>
  <si>
    <t>Jumlah Publikasi nerwilis yang terbit tepat waktu</t>
  </si>
  <si>
    <t>Jumlah Laporan nerwilis yang terbit tepat waktu</t>
  </si>
  <si>
    <t>Jumlah publikasi nerwilis yang menerapkan standar akurasi sebagai dasar perencanaan dan evaluasi pembangunan nasional</t>
  </si>
  <si>
    <t>Jumlah Release data nerwilis yang tepat waktu</t>
  </si>
  <si>
    <t>Persentase pemasukan dokumen (response rate) survei nerwilis</t>
  </si>
  <si>
    <t>Jumlah pemasukan dokumen (response rate) survei nerwilis dengan pendekatan rumah tangga</t>
  </si>
  <si>
    <t>Jumlah pemasukan dokumen (response rate) survei nerwilis dengan pendekatan usaha</t>
  </si>
  <si>
    <t>Jumlah pemasukan dokumen (response rate) survei nerwilis dengan pendekatan non rumah tangga non usaha</t>
  </si>
  <si>
    <t>Persentase pengolahan hasil pendataan kegiatan nerwilis yang tepat waktu</t>
  </si>
  <si>
    <r>
      <rPr>
        <rFont val="Calibri"/>
        <b/>
        <color theme="1"/>
        <sz val="11.0"/>
      </rPr>
      <t xml:space="preserve">Rata-Rata Capaian Kinerja </t>
    </r>
    <r>
      <rPr>
        <rFont val="Calibri"/>
        <b/>
        <color theme="1"/>
        <sz val="11.0"/>
      </rPr>
      <t>→</t>
    </r>
  </si>
  <si>
    <t>Koordinator Fungsi Integrasi Pengolahan dan Diseminasi Statistik</t>
  </si>
  <si>
    <t>Jumlah Peta wilayah kerja statistik yang diupdate</t>
  </si>
  <si>
    <t>Jumlah Peta Desa dan blok sensus yang di update</t>
  </si>
  <si>
    <t>Persentase pemasukan dokumen (Response Rate) Survei Kebutuhan Data</t>
  </si>
  <si>
    <t>Persentase pengolahan data hasil kegiatan statistik yang dikirim ke pusat tepat waktu</t>
  </si>
  <si>
    <t>Jumlah Publikasi/Laporan integrasi pengolahan dan diseminasi statistik yang terbit tepat waktu</t>
  </si>
  <si>
    <t>Jumlah K/L/D/I yang telah mendapatkan rekomendasi kegiatan statistik sektoral</t>
  </si>
  <si>
    <t>K/L/D/I</t>
  </si>
  <si>
    <t>Jumlah K/L/D/I yang telah melaksanakan rekomendasi kegiatan statistik sektoral</t>
  </si>
  <si>
    <t>Jumlah aktivitas pembinaan statistik yang dilakukan</t>
  </si>
  <si>
    <t>Aktivitas</t>
  </si>
  <si>
    <t>Jumlah K/L/D/I yang menyampaikan metadata kegiatan statistik sektoral dan khusus sesuai standar</t>
  </si>
  <si>
    <t>Metadata</t>
  </si>
  <si>
    <t>Jumlah metadata kegiatan statistik dasar yang dihimpun</t>
  </si>
  <si>
    <t>Indeks Kepuasan Konsumen (IKK) terhadap dimensi kualitas layanan</t>
  </si>
  <si>
    <t>Poin</t>
  </si>
  <si>
    <t>Jumlah pengunjung eksternal yang mengakses data dan informasi statistik melalui website BPS</t>
  </si>
  <si>
    <t>Pengunjung (Unik)</t>
  </si>
  <si>
    <r>
      <rPr>
        <rFont val="Calibri"/>
        <b/>
        <color theme="1"/>
        <sz val="11.0"/>
      </rPr>
      <t xml:space="preserve">Rata-Rata Capaian Kinerja </t>
    </r>
    <r>
      <rPr>
        <rFont val="Calibri"/>
        <b/>
        <color theme="1"/>
        <sz val="11.0"/>
      </rPr>
      <t>→</t>
    </r>
  </si>
  <si>
    <t>Subkoordinator Fungsi Perencanaan</t>
  </si>
  <si>
    <r>
      <rPr>
        <rFont val="Calibri"/>
        <b/>
        <color theme="1"/>
        <sz val="11.0"/>
      </rPr>
      <t xml:space="preserve">Rata-Rata Capaian Kinerja </t>
    </r>
    <r>
      <rPr>
        <rFont val="Calibri"/>
        <b/>
        <color theme="1"/>
        <sz val="11.0"/>
      </rPr>
      <t>→</t>
    </r>
  </si>
  <si>
    <t>Subkoordinator Fungsi umum</t>
  </si>
  <si>
    <r>
      <rPr>
        <rFont val="Calibri"/>
        <b/>
        <color theme="1"/>
        <sz val="11.0"/>
      </rPr>
      <t xml:space="preserve">Rata-Rata Capaian Kinerja </t>
    </r>
    <r>
      <rPr>
        <rFont val="Calibri"/>
        <b/>
        <color theme="1"/>
        <sz val="11.0"/>
      </rPr>
      <t>→</t>
    </r>
  </si>
  <si>
    <t>Subkoordinator Fungsi Sumber Daya Manusia dan Hukum</t>
  </si>
  <si>
    <t>Jumlah layanan adaministrasi pegawai</t>
  </si>
  <si>
    <t>orang</t>
  </si>
  <si>
    <t>Jumlah Layanan Jabatan fungsional</t>
  </si>
  <si>
    <r>
      <rPr>
        <rFont val="Calibri"/>
        <b/>
        <color theme="1"/>
        <sz val="11.0"/>
      </rPr>
      <t xml:space="preserve">Rata-Rata Capaian Kinerja </t>
    </r>
    <r>
      <rPr>
        <rFont val="Calibri"/>
        <b/>
        <color theme="1"/>
        <sz val="11.0"/>
      </rPr>
      <t>→</t>
    </r>
  </si>
  <si>
    <t>Subkoordinator Fungsi Keuangan</t>
  </si>
  <si>
    <r>
      <rPr>
        <rFont val="Calibri"/>
        <b/>
        <color theme="1"/>
        <sz val="11.0"/>
      </rPr>
      <t xml:space="preserve">Rata-Rata Capaian Kinerja </t>
    </r>
    <r>
      <rPr>
        <rFont val="Calibri"/>
        <b/>
        <color theme="1"/>
        <sz val="11.0"/>
      </rPr>
      <t>→</t>
    </r>
  </si>
  <si>
    <t>Subkoordinator Fungsi PBJ</t>
  </si>
  <si>
    <r>
      <rPr>
        <rFont val="Calibri"/>
        <b/>
        <color theme="1"/>
        <sz val="11.0"/>
      </rPr>
      <t xml:space="preserve">Rata-Rata Capaian Kinerja </t>
    </r>
    <r>
      <rPr>
        <rFont val="Calibri"/>
        <b/>
        <color theme="1"/>
        <sz val="11.0"/>
      </rPr>
      <t>→</t>
    </r>
  </si>
  <si>
    <t>Subkoordinator Fungsi Statistik Kependudukan</t>
  </si>
  <si>
    <t>Jumlah Publikasi/Laporan Statistik Kependudukan</t>
  </si>
  <si>
    <t>Jumlah Publikasi Statistik Kependudukan</t>
  </si>
  <si>
    <t>Jumlah Laporan Statistik Kependudukan</t>
  </si>
  <si>
    <t>Jumlah Publikasi/Laporan Statistik Kependudukan yang Terbit Tepat Waktu</t>
  </si>
  <si>
    <t>Jumlah Publikasi Statistik Kependudukan yang terbit tepat waktu</t>
  </si>
  <si>
    <t>Jumlah Laporan Statistik Kependudukan yang terbit tepat waktu</t>
  </si>
  <si>
    <t>Jumlah publikasi Statistik Kependudukanyang menerapkan standar akurasi sebagai dasar perencanaan dan evaluasi pembangunan nasional</t>
  </si>
  <si>
    <t>Jumlah Release data Statistik Kependudukan yang tepat waktu</t>
  </si>
  <si>
    <t>Persentase pemasukan dokumen (response rate) survei Statistik Kependudukan</t>
  </si>
  <si>
    <t>Jumlah pemasukan dokumen (response rate) survei Statistik Kependudukan dengan pendekatan rumah tangga</t>
  </si>
  <si>
    <t>Survei Angkatan kerja Nasional Februari 2022</t>
  </si>
  <si>
    <t>Survei Angkatan kerja Nasional Agustus 2022</t>
  </si>
  <si>
    <t>Ujicoba Long Form SP2020</t>
  </si>
  <si>
    <t xml:space="preserve">Long Form SP2020 </t>
  </si>
  <si>
    <t>Persentase pengolahan hasil pendataan kegiatan Statistik Kependudukan yang tepat waktu</t>
  </si>
  <si>
    <r>
      <rPr>
        <rFont val="Calibri"/>
        <b/>
        <color theme="1"/>
        <sz val="11.0"/>
      </rPr>
      <t xml:space="preserve">Rata-Rata Capaian Kinerja </t>
    </r>
    <r>
      <rPr>
        <rFont val="Calibri"/>
        <b/>
        <color theme="1"/>
        <sz val="11.0"/>
      </rPr>
      <t>→</t>
    </r>
  </si>
  <si>
    <t>Subkoordinator Fungsi Statistik Kesejahteraan Rakyat</t>
  </si>
  <si>
    <t>Target alokasi sampel</t>
  </si>
  <si>
    <t>Jumlah Publikasi/Laporan Statistik Kesejahteraan Rakyat</t>
  </si>
  <si>
    <t>Jumlah Publikasi Statistik Kesejahteraan Rakyat</t>
  </si>
  <si>
    <t>Jumlah Laporan Statistik Kesejahteraan Rakyat</t>
  </si>
  <si>
    <t>Jumlah Publikasi/Laporan Statistik Kesejahteraan Rakyat yang Terbit Tepat Waktu</t>
  </si>
  <si>
    <t>Jumlah Publikasi Statistik Kesejahteraan Rakyat yang terbit tepat waktu</t>
  </si>
  <si>
    <t>Jumlah Laporan Statistik Kesejahteraan Rakyat yang terbit tepat waktu</t>
  </si>
  <si>
    <t>Jumlah publikasi statistik Kesejahteraan Rakyat yang menerapkan standar akurasi sebagai dasar perencanaan dan evaluasi pembangunan nasional</t>
  </si>
  <si>
    <t>Jumlah Release data statistik Kesejahteraan Rakyat yang tepat waktu</t>
  </si>
  <si>
    <t>Persentase pemasukan dokumen (response rate) survei statistik Kesejahteraan Rakyat</t>
  </si>
  <si>
    <t>Jumlah pemasukan dokumen (response rate) survei statistik Kesejahteraan Rakyat dengan pendekatan rumah tangga</t>
  </si>
  <si>
    <t>Survei Sosial Ekonomi Nasional Maret</t>
  </si>
  <si>
    <t>Survei Sosial Ekonomi Nasional September</t>
  </si>
  <si>
    <t>Persentase pengolahan hasil pendataan kegiatan statistik Kesejahteraan Rakyat yang tepat waktu</t>
  </si>
  <si>
    <r>
      <rPr>
        <rFont val="Calibri"/>
        <b/>
        <color theme="1"/>
        <sz val="11.0"/>
      </rPr>
      <t xml:space="preserve">Rata-Rata Capaian Kinerja </t>
    </r>
    <r>
      <rPr>
        <rFont val="Calibri"/>
        <b/>
        <color theme="1"/>
        <sz val="11.0"/>
      </rPr>
      <t>→</t>
    </r>
  </si>
  <si>
    <t>Subkoordinator Fungsi Statistik Ketahanan Sosial</t>
  </si>
  <si>
    <t>Jumlah Publikasi/Laporan Statistik Ketahanan Sosial</t>
  </si>
  <si>
    <t>Jumlah Publikasi Statistik Ketahanan Sosial</t>
  </si>
  <si>
    <t>Jumlah Laporan Statistik Ketahanan Sosial</t>
  </si>
  <si>
    <t>Jumlah Publikasi/Laporan Statistik Ketahanan Sosial yang Terbit Tepat Waktu</t>
  </si>
  <si>
    <t>Jumlah Publikasi Statistik Ketahanan Sosial yang terbit tepat waktu</t>
  </si>
  <si>
    <t>Jumlah Laporan Statistik Ketahanan Sosial yang terbit tepat waktu</t>
  </si>
  <si>
    <t>Jumlah publikasi statistik ketahanan sosial yang menerapkan standar akurasi sebagai dasar perencanaan dan evaluasi pembangunan nasional</t>
  </si>
  <si>
    <t>Jumlah Release data statistik ketahanan sosial yang tepat waktu</t>
  </si>
  <si>
    <t>Persentase pemasukan dokumen (response rate) survei statistik ketahanan sosial</t>
  </si>
  <si>
    <t>Jumlah pemasukan dokumen (response rate) survei statistik ketahanan sosial dengan pendekatan rumah tangga</t>
  </si>
  <si>
    <t>Survei Perilaku Anti Korupsi</t>
  </si>
  <si>
    <t>Pendataan Awal Regsosek</t>
  </si>
  <si>
    <t>Jumlah pemasukan dokumen (response rate) survei statistik ketahanan sosial dengan pendekatan non rumah tangga non usaha</t>
  </si>
  <si>
    <t>Survei Lingkungan Hidup Indonesia</t>
  </si>
  <si>
    <t>Survei Sumber Daya Laut dan Pesisir</t>
  </si>
  <si>
    <t>Pengumpulan Data Statistik Politik dan Keamanan</t>
  </si>
  <si>
    <t>Pengumpulan Data Indeks Demokrasi Indonesia</t>
  </si>
  <si>
    <t>Persentase pengolahan hasil pendataan kegiatan statistik ketahanan sosial yang tepat waktu</t>
  </si>
  <si>
    <r>
      <rPr>
        <rFont val="Calibri"/>
        <b/>
        <color theme="1"/>
        <sz val="11.0"/>
      </rPr>
      <t xml:space="preserve">Rata-Rata Capaian Kinerja </t>
    </r>
    <r>
      <rPr>
        <rFont val="Calibri"/>
        <b/>
        <color theme="1"/>
        <sz val="11.0"/>
      </rPr>
      <t>→</t>
    </r>
  </si>
  <si>
    <t>Subkoordinator Fungsi Statistik Pertanian</t>
  </si>
  <si>
    <t>Jumlah Publikasi/Laporan Statistik pertanian</t>
  </si>
  <si>
    <t>Jumlah Publikasi Statistik pertanian</t>
  </si>
  <si>
    <t>Jumlah Laporan Statistik pertanian</t>
  </si>
  <si>
    <t>Jumlah Publikasi/Laporan Statistik pertanian yang Terbit Tepat Waktu</t>
  </si>
  <si>
    <t>Jumlah Publikasi Statistik pertanian yang terbit tepat waktu</t>
  </si>
  <si>
    <t>Jumlah Laporan Statistik pertanian yang terbit tepat waktu</t>
  </si>
  <si>
    <t>Jumlah publikasi statistik pertanian yang menerapkan standar akurasi sebagai dasar perencanaan dan evaluasi pembangunan nasional</t>
  </si>
  <si>
    <t>Jumlah Release data statistik pertanian yang tepat waktu</t>
  </si>
  <si>
    <t>Persentase pemasukan dokumen (response rate) survei statistik pertanian</t>
  </si>
  <si>
    <t>Jumlah pemasukan dokumen (response rate) survei statistik pertanian dengan pendekatan rumah tangga</t>
  </si>
  <si>
    <t>Survei Ubinan  padi</t>
  </si>
  <si>
    <t>Survei Ubinan palawija</t>
  </si>
  <si>
    <t>Survei …</t>
  </si>
  <si>
    <t>Jumlah pemasukan dokumen (response rate) survei Statistik pertanian dengan pendekatan usaha</t>
  </si>
  <si>
    <t>Survei Peternakan</t>
  </si>
  <si>
    <t>Survei Perikanan</t>
  </si>
  <si>
    <t>Survei Kehutanan</t>
  </si>
  <si>
    <t>Survei Perkebunan</t>
  </si>
  <si>
    <t>Survei...</t>
  </si>
  <si>
    <t>Jumlah pemasukan dokumen (response rate) survei statistik pertanian dengan pendekatan non rumah tangga non usaha</t>
  </si>
  <si>
    <t>Survei KSA Padi</t>
  </si>
  <si>
    <t>Survei KSA Jagung</t>
  </si>
  <si>
    <t>Survei Tanaman Pangan</t>
  </si>
  <si>
    <t>Survei Hortikultura</t>
  </si>
  <si>
    <t>Persentase pengolahan hasil pendataan kegiatan statistik pertanian yang tepat waktu</t>
  </si>
  <si>
    <r>
      <rPr>
        <rFont val="Calibri"/>
        <b/>
        <color theme="1"/>
        <sz val="11.0"/>
      </rPr>
      <t xml:space="preserve">Rata-Rata Capaian Kinerja </t>
    </r>
    <r>
      <rPr>
        <rFont val="Calibri"/>
        <b/>
        <color theme="1"/>
        <sz val="11.0"/>
      </rPr>
      <t>→</t>
    </r>
  </si>
  <si>
    <t>Subkoordinator Fungsi Statistik Industri</t>
  </si>
  <si>
    <t>Jumlah Publikasi/Laporan Statistik industri</t>
  </si>
  <si>
    <t>Jumlah Publikasi Statistik industri</t>
  </si>
  <si>
    <t>Jumlah Laporan Statistik industri</t>
  </si>
  <si>
    <t>Jumlah Publikasi/Laporan Statistik industri yang Terbit Tepat Waktu</t>
  </si>
  <si>
    <t>Jumlah Publikasi Statistik industri yang terbit tepat waktu</t>
  </si>
  <si>
    <t>Jumlah Laporan Statistik industri yang terbit tepat waktu</t>
  </si>
  <si>
    <t>Jumlah publikasi statistik industri yang menerapkan standar akurasi sebagai dasar perencanaan dan evaluasi pembangunan nasional</t>
  </si>
  <si>
    <t>Jumlah Release data statistik industri yang tepat waktu</t>
  </si>
  <si>
    <t>Persentase pemasukan dokumen (response rate) survei statistik industri</t>
  </si>
  <si>
    <t>Jumlah pemasukan dokumen (response rate) survei statistik industri dengan pendekatan rumah tangga</t>
  </si>
  <si>
    <t>Jumlah pemasukan dokumen (response rate) survei Statistik industri dengan pendekatan usaha</t>
  </si>
  <si>
    <t>Survei Industri Mikro Kecil Triwulanan</t>
  </si>
  <si>
    <t>Survei Industri Mikro Kecil Tahunan</t>
  </si>
  <si>
    <t>Survei Industri Besar Sedang Bulanan</t>
  </si>
  <si>
    <t>Survei Industri Besar SEdang Tahunan</t>
  </si>
  <si>
    <t>Survei Updating Direktori Industri (Ke Perusahaan+Dinas)</t>
  </si>
  <si>
    <t>Jumlah pemasukan dokumen (response rate) survei statistik industri dengan pendekatan non rumah tangga non usaha</t>
  </si>
  <si>
    <t>Persentase pengolahan hasil pendataan kegiatan statistik industri yang tepat waktu</t>
  </si>
  <si>
    <r>
      <rPr>
        <rFont val="Calibri"/>
        <b/>
        <color theme="1"/>
        <sz val="11.0"/>
      </rPr>
      <t xml:space="preserve">Rata-Rata Capaian Kinerja </t>
    </r>
    <r>
      <rPr>
        <rFont val="Calibri"/>
        <b/>
        <color theme="1"/>
        <sz val="11.0"/>
      </rPr>
      <t>→</t>
    </r>
  </si>
  <si>
    <t>Subkoordinator Fungsi Statistik Pertambangan, Energi, dan Konstruksi</t>
  </si>
  <si>
    <t>Jumlah Publikasi/Laporan Statistik pertambangan, energi, dan kontruksi</t>
  </si>
  <si>
    <t>Jumlah Publikasi Statistik pertambangan, energi, dan kontruksi</t>
  </si>
  <si>
    <t>Jumlah Laporan Statistik pertambangan, energi, dan kontruksi</t>
  </si>
  <si>
    <t>Jumlah Publikasi/Laporan Statistik pertambangan, energi, dan kontruksi yang Terbit Tepat Waktu</t>
  </si>
  <si>
    <t>Jumlah Publikasi Statistik pertambangan, energi, dan kontruksiyang terbit tepat waktu</t>
  </si>
  <si>
    <t>Jumlah Laporan Statistik pertambangan, energi, dan kontruksi yang terbit tepat waktu</t>
  </si>
  <si>
    <t>Jumlah publikasi statistik pertambangan, energi, dan kontruksi yang menerapkan standar akurasi sebagai dasar perencanaan dan evaluasi pembangunan nasional</t>
  </si>
  <si>
    <t>Jumlah Release data statistik pertambangan, energi, dan kontruksi yang tepat waktu</t>
  </si>
  <si>
    <t>Persentase pemasukan dokumen (response rate) survei statistik pertambangan, energi, dan kontruksi</t>
  </si>
  <si>
    <t>Jumlah pemasukan dokumen (response rate) survei statistik pertambangan, energi, dan kontruksi dengan pendekatan rumah tangga</t>
  </si>
  <si>
    <t>SurveI Tahunan Usaha Penggalian Bahan Industri dan Konstruksi (Galian-URT)</t>
  </si>
  <si>
    <t>Jumlah pemasukan dokumen (response rate) survei Statistik pertambangan, energi, dan kontruksi dengan pendekatan usaha</t>
  </si>
  <si>
    <t>Survei Perusahaan Konstruksi Triwulanan</t>
  </si>
  <si>
    <t>Survei Perusahaan Konstruksi Tahunan</t>
  </si>
  <si>
    <t>Survei UDP</t>
  </si>
  <si>
    <t>Survei Pertambangan dan Energi</t>
  </si>
  <si>
    <t>Jumlah pemasukan dokumen (response rate) survei statistik pertambangan, energi, dan kontruksi dengan pendekatan non rumah tangga non usaha</t>
  </si>
  <si>
    <t>Persentase pengolahan hasil pendataan kegiatan statistik pertambangan, energi, dan kontruksi yang tepat waktu</t>
  </si>
  <si>
    <r>
      <rPr>
        <rFont val="Calibri"/>
        <b/>
        <color theme="1"/>
        <sz val="11.0"/>
      </rPr>
      <t xml:space="preserve">Rata-Rata Capaian Kinerja </t>
    </r>
    <r>
      <rPr>
        <rFont val="Calibri"/>
        <b/>
        <color theme="1"/>
        <sz val="11.0"/>
      </rPr>
      <t>→</t>
    </r>
  </si>
  <si>
    <t>Subkoordinator Fungsi Statistik Harga Konsumen dan Harga Perdagangan Besar</t>
  </si>
  <si>
    <t>Jumlah Publikasi/Laporan Statistik Harga Konsumen dan Harga Perdagangan Besar</t>
  </si>
  <si>
    <t>Jumlah Publikasi Statistik Harga Konsumen dan Harga Perdagangan Besar</t>
  </si>
  <si>
    <t>Jumlah Laporan Statistik Harga Konsumen dan Harga Perdagangan Besar</t>
  </si>
  <si>
    <t>Jumlah Publikasi/Laporan Statistik Harga Konsumen dan Harga Perdagangan Besar yang Terbit Tepat Waktu</t>
  </si>
  <si>
    <t>Jumlah Publikasi Statistik Harga Konsumen dan Harga Perdagangan Besar yang terbit tepat waktu</t>
  </si>
  <si>
    <t>Jumlah Laporan Statistik Harga Konsumen dan Harga Perdagangan Besar yang terbit tepat waktu</t>
  </si>
  <si>
    <t>Jumlah Publikasi Statistik Harga Konsumen dan Harga Perdagangan Besar yang menerapkan standar akurasi sebagai dasar perencanaan dan evaluasi pembangunan nasional</t>
  </si>
  <si>
    <t>Jumlah Release data statistik Harga Konsumen dan Harga Perdagangan Besar yang tepat waktu</t>
  </si>
  <si>
    <t>Persentase pemasukan dokumen (response rate) Survei Statistik Harga Konsumen dan Harga Perdagangan Besar</t>
  </si>
  <si>
    <t>Jumlah pemasukan dokumen (response rate) survei statistik Harga Konsumen dan Perdagangan Besar dengan pendekatan rumah tangga</t>
  </si>
  <si>
    <t>Survei Harga Konsumen dan Survei Volume Penjualan Eceran Beras</t>
  </si>
  <si>
    <t>Survei Harga Perdagangan Besar</t>
  </si>
  <si>
    <t>Survei Harga Kemahalan Konstruksi</t>
  </si>
  <si>
    <t>Jumlah pemasukan dokumen (response rate) survei Statistik Harga Konsumen dan Perdagangan Besar dengan pendekatan usaha</t>
  </si>
  <si>
    <t>Jumlah pemasukan dokumen (response rate) survei statistik Harga Konsumen dan Perdagangan Besar dengan pendekatan non rumah tangga non usaha</t>
  </si>
  <si>
    <t>Persentase pengolahan hasil pendataan kegiatan statistik Harga Konsumen dan Perdagangan Besar yang tepat waktu</t>
  </si>
  <si>
    <r>
      <rPr>
        <rFont val="Calibri"/>
        <b/>
        <color theme="1"/>
        <sz val="11.0"/>
      </rPr>
      <t xml:space="preserve">Rata-Rata Capaian Kinerja </t>
    </r>
    <r>
      <rPr>
        <rFont val="Calibri"/>
        <b/>
        <color theme="1"/>
        <sz val="11.0"/>
      </rPr>
      <t>→</t>
    </r>
  </si>
  <si>
    <t>Subkoordinator Fungsi Statistik Keuangan dan Harga Produsen</t>
  </si>
  <si>
    <t>Jumlah Publikasi/Laporan Statistik keuangan dan harga produsen</t>
  </si>
  <si>
    <t>Jumlah Publikasi Statistik keuangan dan harga produsen</t>
  </si>
  <si>
    <t>Jumlah Laporan Statistik keuangan dan harga produsen</t>
  </si>
  <si>
    <t>Jumlah Publikasi/Laporan Statistik keuangan dan harga produsen yang Terbit Tepat Waktu</t>
  </si>
  <si>
    <t>Jumlah Publikasi Statistik keuangan dan harga produsen yang terbit tepat waktu</t>
  </si>
  <si>
    <t>Jumlah Laporan Statistik keuangan dan harga produsen yang terbit tepat waktu</t>
  </si>
  <si>
    <t>Jumlah publikasi statistik keuangan dan harga produsen yang menerapkan standar akurasi sebagai dasar perencanaan dan evaluasi pembangunan nasional</t>
  </si>
  <si>
    <t>Jumlah Release data statistik keuangan dan harga produsen yang tepat waktu</t>
  </si>
  <si>
    <t>Persentase pemasukan dokumen (response rate) survei statistik keuangan dan harga produsen</t>
  </si>
  <si>
    <t>Jumlah pemasukan dokumen (response rate) survei statistik keuangan dan harga produsen dengan pendekatan rumah tangga</t>
  </si>
  <si>
    <t>Survei Harga Gabah</t>
  </si>
  <si>
    <t>Survei Harga Perdesaan</t>
  </si>
  <si>
    <t>Jumlah pemasukan dokumen (response rate) survei Statistik keuangan dan harga produsen dengan pendekatan usaha</t>
  </si>
  <si>
    <t>Survei Harga Beras di Penggiliingan</t>
  </si>
  <si>
    <t>Survei Harga Produsen Sektoral</t>
  </si>
  <si>
    <t>Survei Harga Produsen Pertanian</t>
  </si>
  <si>
    <t>Survei Harga Produsen Jasa</t>
  </si>
  <si>
    <t>Survei Harga Perdagangan International</t>
  </si>
  <si>
    <t>Survei SLK-Valas</t>
  </si>
  <si>
    <t>Survei Lembaga Keuangan</t>
  </si>
  <si>
    <t>Survei Badan Usaha Milik Daerah</t>
  </si>
  <si>
    <t>Jumlah pemasukan dokumen (response rate) survei statistik keuangan dan harga produsen dengan pendekatan non rumah tangga non usaha</t>
  </si>
  <si>
    <t>Survei Keuangan Pemerintah Daerah</t>
  </si>
  <si>
    <t>Survei Keuangan Pemerintah Desa</t>
  </si>
  <si>
    <t>Persentase pengolahan hasil pendataan kegiatan statistik keuangan dan harga produsen yang tepat waktu</t>
  </si>
  <si>
    <r>
      <rPr>
        <rFont val="Calibri"/>
        <b/>
        <color theme="1"/>
        <sz val="11.0"/>
      </rPr>
      <t xml:space="preserve">Rata-Rata Capaian Kinerja </t>
    </r>
    <r>
      <rPr>
        <rFont val="Calibri"/>
        <b/>
        <color theme="1"/>
        <sz val="11.0"/>
      </rPr>
      <t>→</t>
    </r>
  </si>
  <si>
    <t>Subkoordinator Fungsi Statistik Niaga dan Jasa</t>
  </si>
  <si>
    <t>Jumlah Publikasi/Laporan Statistik niaga dan jasa</t>
  </si>
  <si>
    <t>Jumlah Publikasi Statistik niaga dan jasa</t>
  </si>
  <si>
    <t>Jumlah Laporan Statistik niaga dan jasa</t>
  </si>
  <si>
    <t>Jumlah Publikasi/Laporan Statistik niaga dan jasa yang Terbit Tepat Waktu</t>
  </si>
  <si>
    <t>Jumlah Publikasi Statistik niaga dan jasa yang terbit tepat waktu</t>
  </si>
  <si>
    <t>Jumlah Laporan Statistik niaga dan jasa yang terbit tepat waktu</t>
  </si>
  <si>
    <t>Jumlah publikasi statistik niaga dan jasa yang menerapkan standar akurasi sebagai dasar perencanaan dan evaluasi pembangunan nasional</t>
  </si>
  <si>
    <t>Jumlah Release data statistik niaga dan jasa yang tepat waktu</t>
  </si>
  <si>
    <t>Persentase pemasukan dokumen (response rate) survei statistik niaga dan jasa</t>
  </si>
  <si>
    <t>Jumlah pemasukan dokumen (response rate) survei statistik niaga dan jasa dengan pendekatan rumah tangga</t>
  </si>
  <si>
    <t>Jumlah pemasukan dokumen (response rate) survei Statistik niaga dan jasa dengan pendekatan usaha</t>
  </si>
  <si>
    <t>Survei Pola Distribusi Barang dan Jasa (POLDIS)</t>
  </si>
  <si>
    <t>Survei Perdagangan dan PAW</t>
  </si>
  <si>
    <t>Survei Triwulanan Kegiatan Usaha (STKU)</t>
  </si>
  <si>
    <t>Survei Transportasi (Bandara dan Pelabuhan)</t>
  </si>
  <si>
    <t>Survei Dwelling Time (SDT)</t>
  </si>
  <si>
    <t>Survei Hotel Bulanan (VHTS)</t>
  </si>
  <si>
    <t>Survei Hotel Tahunan (VHTL)</t>
  </si>
  <si>
    <t>Survei Daerah Tujuan WIsata (VDTW)</t>
  </si>
  <si>
    <t>Survei Restoran (VREST-UMB)</t>
  </si>
  <si>
    <t>Survei E-Comerce (Listing)</t>
  </si>
  <si>
    <t>Survei E-Comerce (Sampel Pencacahan)</t>
  </si>
  <si>
    <t>Survei Karakteristik Usaha / Business Characteristics SUrvey (BCS)</t>
  </si>
  <si>
    <t>Survei VREST-UMK (Listing)</t>
  </si>
  <si>
    <t>Survei VREST-UMK (Sampel)</t>
  </si>
  <si>
    <t>Jumlah pemasukan dokumen (response rate) survei statistik niaga dan jasa dengan pendekatan non rumah tangga non usaha</t>
  </si>
  <si>
    <t>Survei Angkuta Penumpang dan Barang (SAPB)</t>
  </si>
  <si>
    <t>Survei Panjang Jalan (PJ II/5 dan PJ II/6)</t>
  </si>
  <si>
    <t>Persentase pengolahan hasil pendataan kegiatan statistik niaga dan jasa yang tepat waktu</t>
  </si>
  <si>
    <r>
      <rPr>
        <rFont val="Calibri"/>
        <b/>
        <color theme="1"/>
        <sz val="11.0"/>
      </rPr>
      <t xml:space="preserve">Rata-Rata Capaian Kinerja </t>
    </r>
    <r>
      <rPr>
        <rFont val="Calibri"/>
        <b/>
        <color theme="1"/>
        <sz val="11.0"/>
      </rPr>
      <t>→</t>
    </r>
  </si>
  <si>
    <t xml:space="preserve">            a</t>
  </si>
  <si>
    <t>Subkoordinator Fungsi Neraca Produksi</t>
  </si>
  <si>
    <t>Jumlah Publikasi/Laporan neraca produksi</t>
  </si>
  <si>
    <t>Jumlah Publikasi neraca produksi</t>
  </si>
  <si>
    <t>Jumlah Laporan neraca produksi</t>
  </si>
  <si>
    <t>Jumlah Publikasi/Laporan neraca produksi yang Terbit Tepat Waktu</t>
  </si>
  <si>
    <t>Jumlah Publikasi neraca produksi yang terbit tepat waktu</t>
  </si>
  <si>
    <t>Jumlah Laporan neraca produksi yang terbit tepat waktu</t>
  </si>
  <si>
    <t>Jumlah publikasi neraca produksi yang menerapkan standar akurasi sebagai dasar perencanaan dan evaluasi pembangunan nasional</t>
  </si>
  <si>
    <t>Jumlah Release data neraca produksi yang tepat waktu</t>
  </si>
  <si>
    <t>Persentase pemasukan dokumen (response rate) survei neraca produksi</t>
  </si>
  <si>
    <t>Jumlah pemasukan dokumen (response rate) survei neraca produksi dengan pendekatan rumah tangga</t>
  </si>
  <si>
    <t>Jumlah pemasukan dokumen (response rate) survei neraca produksi dengan pendekatan usaha</t>
  </si>
  <si>
    <t>Survei Khusus Triwulanan Neraca Produksi Sektor Barang (SKTNP SB)</t>
  </si>
  <si>
    <t>Survei Khusus Triwulanan Neraca Produksi Sektor Jasa (SKTNP SJ)</t>
  </si>
  <si>
    <t>Survei Khusus Sektor Jasa tahun 2021 (SKSJ 20201)</t>
  </si>
  <si>
    <t>Indepth Study Sisnerling</t>
  </si>
  <si>
    <t>Survei Khusus Neraca Produksi tahun 2021</t>
  </si>
  <si>
    <t>Jumlah pemasukan dokumen (response rate) survei neraca produksi dengan pendekatan non rumah tangga non usaha</t>
  </si>
  <si>
    <t>Dinas/Instansi</t>
  </si>
  <si>
    <t>Pengumpulan Data Sekunder Triwulanan</t>
  </si>
  <si>
    <t>Persentase pengolahan hasil pendataan kegiatan neraca produksi yang tepat waktu</t>
  </si>
  <si>
    <r>
      <rPr>
        <rFont val="Calibri"/>
        <b/>
        <color theme="1"/>
        <sz val="11.0"/>
      </rPr>
      <t xml:space="preserve">Rata-Rata Capaian Kinerja </t>
    </r>
    <r>
      <rPr>
        <rFont val="Calibri"/>
        <b/>
        <color theme="1"/>
        <sz val="11.0"/>
      </rPr>
      <t>→</t>
    </r>
  </si>
  <si>
    <t>Subkoordinator Fungsi Neraca Konsumsi</t>
  </si>
  <si>
    <t>Jumlah Publikasi/Laporan neraca konsumsi</t>
  </si>
  <si>
    <t>Jumlah Publikasi neraca konsumsi</t>
  </si>
  <si>
    <t>Jumlah Laporan neraca konsumsi</t>
  </si>
  <si>
    <t>Jumlah Publikasi/Laporan neraca konsumsi yang Terbit Tepat Waktu</t>
  </si>
  <si>
    <t>Jumlah Publikasi neraca konsumsi yang terbit tepat waktu</t>
  </si>
  <si>
    <t>Jumlah Laporan neraca konsumsi yang terbit tepat waktu</t>
  </si>
  <si>
    <t>Jumlah publikasi neraca konsumsi yang menerapkan standar akurasi sebagai dasar perencanaan dan evaluasi pembangunan nasional</t>
  </si>
  <si>
    <t>Jumlah Release data neraca konsumsi yang tepat waktu</t>
  </si>
  <si>
    <t>Persentase pemasukan dokumen (response rate) survei neraca konsumsi</t>
  </si>
  <si>
    <t>Jumlah pemasukan dokumen (response rate) survei neraca konsumsi dengan pendekatan rumah tangga</t>
  </si>
  <si>
    <t>Survei Khusus Tabungan dan Investasi Rumah Tangga (SKTIR)</t>
  </si>
  <si>
    <t>Jumlah pemasukan dokumen (response rate) survei neraca konsumsi dengan pendekatan usaha</t>
  </si>
  <si>
    <t>Survei Khusus Perusahaan Swasta Non-Finansial (SKPS)</t>
  </si>
  <si>
    <t>Pendukung Survei Khusus Konsumsi Rumah Tangga (SKKRT)</t>
  </si>
  <si>
    <t>Jumlah pemasukan dokumen (response rate) survei neraca konsumsi dengan pendekatan non rumah tangga non usaha</t>
  </si>
  <si>
    <t>Survei Khusus Lembaga Non Profit yang Melayani Rumah Tangga (SKLNP)</t>
  </si>
  <si>
    <t>Updating Direktori SKLNP</t>
  </si>
  <si>
    <t>Survei Khusus Struktur Input Pemerintah (SKSIP)</t>
  </si>
  <si>
    <t>Survei Pembentukan Modal Tetap Bruto (PMTB)</t>
  </si>
  <si>
    <t>Data Sekunder Triwulanan</t>
  </si>
  <si>
    <t>Persentase pengolahan hasil pendataan kegiatan neraca konsumsi yang tepat waktu</t>
  </si>
  <si>
    <r>
      <rPr>
        <rFont val="Calibri"/>
        <b/>
        <color theme="1"/>
        <sz val="11.0"/>
      </rPr>
      <t xml:space="preserve">Rata-Rata Capaian Kinerja </t>
    </r>
    <r>
      <rPr>
        <rFont val="Calibri"/>
        <b/>
        <color theme="1"/>
        <sz val="11.0"/>
      </rPr>
      <t>→</t>
    </r>
  </si>
  <si>
    <t>Subkoordinator Fungsi Analisis Statistik Lintas Sektor</t>
  </si>
  <si>
    <t>Jumlah Publikasi/Laporan analisis statistik lintas sektor</t>
  </si>
  <si>
    <t>Jumlah Publikasi analisis statistik lintas sektor</t>
  </si>
  <si>
    <t>Jumlah Laporan analisis statistik lintas sektor</t>
  </si>
  <si>
    <t>Jumlah Publikasi/Laporan analisis statistik lintas sektor yang Terbit Tepat Waktu</t>
  </si>
  <si>
    <t>Jumlah Publikasi analisis statistik lintas sektor yang terbit tepat waktu</t>
  </si>
  <si>
    <t>Jumlah Laporan analisis statistik lintas sektor yang terbit tepat waktu</t>
  </si>
  <si>
    <t>Jumlah publikasi analisis statistik lintas sektor yang menerapkan standar akurasi sebagai dasar perencanaan dan evaluasi pembangunan nasional</t>
  </si>
  <si>
    <t>Jumlah Release data analisis statistik lintas sektor yang tepat waktu</t>
  </si>
  <si>
    <r>
      <rPr>
        <rFont val="Calibri"/>
        <b/>
        <color theme="1"/>
        <sz val="11.0"/>
      </rPr>
      <t xml:space="preserve">Rata-Rata Capaian Kinerja </t>
    </r>
    <r>
      <rPr>
        <rFont val="Calibri"/>
        <b/>
        <color theme="1"/>
        <sz val="11.0"/>
      </rPr>
      <t>→</t>
    </r>
  </si>
  <si>
    <t>Subkoordinator Fungsi Integrasi Pengolahan Data</t>
  </si>
  <si>
    <r>
      <rPr>
        <rFont val="Calibri"/>
        <b/>
        <color theme="1"/>
        <sz val="11.0"/>
      </rPr>
      <t xml:space="preserve">Rata-Rata Capaian Kinerja </t>
    </r>
    <r>
      <rPr>
        <rFont val="Calibri"/>
        <b/>
        <color theme="1"/>
        <sz val="11.0"/>
      </rPr>
      <t>→</t>
    </r>
  </si>
  <si>
    <t>Subkoordinator Fungsi Jaringan dan Rujukan Statistik</t>
  </si>
  <si>
    <r>
      <rPr>
        <rFont val="Calibri"/>
        <b/>
        <color theme="1"/>
        <sz val="11.0"/>
      </rPr>
      <t xml:space="preserve">Rata-Rata Capaian Kinerja </t>
    </r>
    <r>
      <rPr>
        <rFont val="Calibri"/>
        <b/>
        <color theme="1"/>
        <sz val="11.0"/>
      </rPr>
      <t>→</t>
    </r>
  </si>
  <si>
    <t>Subkoordinator Fungsi Diseminasi dan Layanan Statistik</t>
  </si>
  <si>
    <r>
      <rPr>
        <rFont val="Calibri"/>
        <b/>
        <color theme="1"/>
        <sz val="11.0"/>
      </rPr>
      <t xml:space="preserve">Rata-Rata Capaian Kinerja </t>
    </r>
    <r>
      <rPr>
        <rFont val="Calibri"/>
        <b/>
        <color theme="1"/>
        <sz val="11.0"/>
      </rPr>
      <t>→</t>
    </r>
  </si>
  <si>
    <r>
      <rPr>
        <rFont val="Calibri"/>
        <b/>
        <color theme="1"/>
        <sz val="11.0"/>
      </rPr>
      <t xml:space="preserve">Rata-Rata Capaian Kinerja </t>
    </r>
    <r>
      <rPr>
        <rFont val="Calibri"/>
        <b/>
        <color theme="1"/>
        <sz val="11.0"/>
      </rPr>
      <t>→</t>
    </r>
  </si>
  <si>
    <r>
      <rPr>
        <rFont val="Calibri"/>
        <b/>
        <color theme="1"/>
        <sz val="11.0"/>
      </rPr>
      <t xml:space="preserve">Rata-Rata Capaian Kinerja </t>
    </r>
    <r>
      <rPr>
        <rFont val="Calibri"/>
        <b/>
        <color theme="1"/>
        <sz val="11.0"/>
      </rPr>
      <t>→</t>
    </r>
  </si>
  <si>
    <r>
      <rPr>
        <rFont val="Calibri"/>
        <b/>
        <color theme="1"/>
        <sz val="11.0"/>
      </rPr>
      <t xml:space="preserve">Rata-Rata Capaian Kinerja </t>
    </r>
    <r>
      <rPr>
        <rFont val="Calibri"/>
        <b/>
        <color theme="1"/>
        <sz val="11.0"/>
      </rPr>
      <t>→</t>
    </r>
  </si>
  <si>
    <r>
      <rPr>
        <rFont val="Calibri"/>
        <b/>
        <color theme="1"/>
        <sz val="11.0"/>
      </rPr>
      <t xml:space="preserve">Rata-Rata Capaian Kinerja </t>
    </r>
    <r>
      <rPr>
        <rFont val="Calibri"/>
        <b/>
        <color theme="1"/>
        <sz val="11.0"/>
      </rPr>
      <t>→</t>
    </r>
  </si>
  <si>
    <r>
      <rPr>
        <rFont val="Calibri"/>
        <b/>
        <color theme="1"/>
        <sz val="11.0"/>
      </rPr>
      <t xml:space="preserve">Rata-Rata Capaian Kinerja </t>
    </r>
    <r>
      <rPr>
        <rFont val="Calibri"/>
        <b/>
        <color theme="1"/>
        <sz val="11.0"/>
      </rPr>
      <t>→</t>
    </r>
  </si>
  <si>
    <t>Survei Angkatan kerja Nasional Februari 2021</t>
  </si>
  <si>
    <t>Survei Angkatan kerja Nasional Agustus 2021</t>
  </si>
  <si>
    <r>
      <rPr>
        <rFont val="Calibri"/>
        <b/>
        <color theme="1"/>
        <sz val="11.0"/>
      </rPr>
      <t xml:space="preserve">Rata-Rata Capaian Kinerja </t>
    </r>
    <r>
      <rPr>
        <rFont val="Calibri"/>
        <b/>
        <color theme="1"/>
        <sz val="11.0"/>
      </rPr>
      <t>→</t>
    </r>
  </si>
  <si>
    <r>
      <rPr>
        <rFont val="Calibri"/>
        <b/>
        <color theme="1"/>
        <sz val="11.0"/>
      </rPr>
      <t xml:space="preserve">Rata-Rata Capaian Kinerja </t>
    </r>
    <r>
      <rPr>
        <rFont val="Calibri"/>
        <b/>
        <color theme="1"/>
        <sz val="11.0"/>
      </rPr>
      <t>→</t>
    </r>
  </si>
  <si>
    <t>Survei Pengukuran Tingkat Kebahagiaan</t>
  </si>
  <si>
    <t>Pendataan Potensi Desa</t>
  </si>
  <si>
    <r>
      <rPr>
        <rFont val="Calibri"/>
        <b/>
        <color theme="1"/>
        <sz val="11.0"/>
      </rPr>
      <t xml:space="preserve">Rata-Rata Capaian Kinerja </t>
    </r>
    <r>
      <rPr>
        <rFont val="Calibri"/>
        <b/>
        <color theme="1"/>
        <sz val="11.0"/>
      </rPr>
      <t>→</t>
    </r>
  </si>
  <si>
    <t xml:space="preserve">Survei Ubinan </t>
  </si>
  <si>
    <t xml:space="preserve">Survei </t>
  </si>
  <si>
    <r>
      <rPr>
        <rFont val="Calibri"/>
        <b/>
        <color theme="1"/>
        <sz val="11.0"/>
      </rPr>
      <t xml:space="preserve">Rata-Rata Capaian Kinerja </t>
    </r>
    <r>
      <rPr>
        <rFont val="Calibri"/>
        <b/>
        <color theme="1"/>
        <sz val="11.0"/>
      </rPr>
      <t>→</t>
    </r>
  </si>
  <si>
    <r>
      <rPr>
        <rFont val="Calibri"/>
        <b/>
        <color theme="1"/>
        <sz val="11.0"/>
      </rPr>
      <t xml:space="preserve">Rata-Rata Capaian Kinerja </t>
    </r>
    <r>
      <rPr>
        <rFont val="Calibri"/>
        <b/>
        <color theme="1"/>
        <sz val="11.0"/>
      </rPr>
      <t>→</t>
    </r>
  </si>
  <si>
    <t>Survei Perusahaan Konstruksi</t>
  </si>
  <si>
    <r>
      <rPr>
        <rFont val="Calibri"/>
        <b/>
        <color theme="1"/>
        <sz val="11.0"/>
      </rPr>
      <t xml:space="preserve">Rata-Rata Capaian Kinerja </t>
    </r>
    <r>
      <rPr>
        <rFont val="Calibri"/>
        <b/>
        <color theme="1"/>
        <sz val="11.0"/>
      </rPr>
      <t>→</t>
    </r>
  </si>
  <si>
    <r>
      <rPr>
        <rFont val="Calibri"/>
        <b/>
        <color theme="1"/>
        <sz val="11.0"/>
      </rPr>
      <t xml:space="preserve">Rata-Rata Capaian Kinerja </t>
    </r>
    <r>
      <rPr>
        <rFont val="Calibri"/>
        <b/>
        <color theme="1"/>
        <sz val="11.0"/>
      </rPr>
      <t>→</t>
    </r>
  </si>
  <si>
    <r>
      <rPr>
        <rFont val="Calibri"/>
        <b/>
        <color theme="1"/>
        <sz val="11.0"/>
      </rPr>
      <t xml:space="preserve">Rata-Rata Capaian Kinerja </t>
    </r>
    <r>
      <rPr>
        <rFont val="Calibri"/>
        <b/>
        <color theme="1"/>
        <sz val="11.0"/>
      </rPr>
      <t>→</t>
    </r>
  </si>
  <si>
    <t>Survei E-commerce (Listing)</t>
  </si>
  <si>
    <t>Survei Restoran (VREST)</t>
  </si>
  <si>
    <t>Survei Angkutan Jalan (AJR II/2 dan AJR II/3)</t>
  </si>
  <si>
    <r>
      <rPr>
        <rFont val="Calibri"/>
        <b/>
        <color theme="1"/>
        <sz val="11.0"/>
      </rPr>
      <t xml:space="preserve">Rata-Rata Capaian Kinerja </t>
    </r>
    <r>
      <rPr>
        <rFont val="Calibri"/>
        <b/>
        <color theme="1"/>
        <sz val="11.0"/>
      </rPr>
      <t>→</t>
    </r>
  </si>
  <si>
    <r>
      <rPr>
        <rFont val="Calibri"/>
        <b/>
        <color theme="1"/>
        <sz val="11.0"/>
      </rPr>
      <t xml:space="preserve">Rata-Rata Capaian Kinerja </t>
    </r>
    <r>
      <rPr>
        <rFont val="Calibri"/>
        <b/>
        <color theme="1"/>
        <sz val="11.0"/>
      </rPr>
      <t>→</t>
    </r>
  </si>
  <si>
    <r>
      <rPr>
        <rFont val="Calibri"/>
        <b/>
        <color theme="1"/>
        <sz val="11.0"/>
      </rPr>
      <t xml:space="preserve">Rata-Rata Capaian Kinerja </t>
    </r>
    <r>
      <rPr>
        <rFont val="Calibri"/>
        <b/>
        <color theme="1"/>
        <sz val="11.0"/>
      </rPr>
      <t>→</t>
    </r>
  </si>
  <si>
    <r>
      <rPr>
        <rFont val="Calibri"/>
        <b/>
        <color theme="1"/>
        <sz val="11.0"/>
      </rPr>
      <t xml:space="preserve">Rata-Rata Capaian Kinerja </t>
    </r>
    <r>
      <rPr>
        <rFont val="Calibri"/>
        <b/>
        <color theme="1"/>
        <sz val="11.0"/>
      </rPr>
      <t>→</t>
    </r>
  </si>
  <si>
    <r>
      <rPr>
        <rFont val="Calibri"/>
        <b/>
        <color theme="1"/>
        <sz val="11.0"/>
      </rPr>
      <t xml:space="preserve">Rata-Rata Capaian Kinerja </t>
    </r>
    <r>
      <rPr>
        <rFont val="Calibri"/>
        <b/>
        <color theme="1"/>
        <sz val="11.0"/>
      </rPr>
      <t>→</t>
    </r>
  </si>
  <si>
    <r>
      <rPr>
        <rFont val="Calibri"/>
        <b/>
        <color theme="1"/>
        <sz val="11.0"/>
      </rPr>
      <t xml:space="preserve">Rata-Rata Capaian Kinerja </t>
    </r>
    <r>
      <rPr>
        <rFont val="Calibri"/>
        <b/>
        <color theme="1"/>
        <sz val="11.0"/>
      </rPr>
      <t>→</t>
    </r>
  </si>
  <si>
    <r>
      <rPr>
        <rFont val="Calibri"/>
        <b/>
        <color theme="1"/>
        <sz val="11.0"/>
      </rPr>
      <t xml:space="preserve">Rata-Rata Capaian Kinerja </t>
    </r>
    <r>
      <rPr>
        <rFont val="Calibri"/>
        <b/>
        <color theme="1"/>
        <sz val="11.0"/>
      </rPr>
      <t>→</t>
    </r>
  </si>
  <si>
    <t>FORM RENCANA AKSI BPS PROVINSI TAHUN 2021</t>
  </si>
  <si>
    <t>Kepala BPS Provinsi</t>
  </si>
  <si>
    <r>
      <rPr>
        <rFont val="Calibri"/>
        <b/>
        <color theme="1"/>
        <sz val="11.0"/>
      </rPr>
      <t xml:space="preserve">Rata-Rata Capaian Kinerja Sasaran 1.1 </t>
    </r>
    <r>
      <rPr>
        <rFont val="Calibri"/>
        <b/>
        <color theme="1"/>
        <sz val="11.0"/>
      </rPr>
      <t>→</t>
    </r>
  </si>
  <si>
    <r>
      <rPr>
        <rFont val="Calibri"/>
        <b/>
        <color theme="1"/>
        <sz val="11.0"/>
      </rPr>
      <t xml:space="preserve">Rata-Rata Capaian Kinerja Sasaran 2.1 </t>
    </r>
    <r>
      <rPr>
        <rFont val="Calibri"/>
        <b/>
        <color theme="1"/>
        <sz val="11.0"/>
      </rPr>
      <t>→</t>
    </r>
  </si>
  <si>
    <r>
      <rPr>
        <rFont val="Calibri"/>
        <b/>
        <color theme="1"/>
        <sz val="11.0"/>
      </rPr>
      <t xml:space="preserve">Rata-Rata Capaian Kinerja Sasaran 3.1 </t>
    </r>
    <r>
      <rPr>
        <rFont val="Calibri"/>
        <b/>
        <color theme="1"/>
        <sz val="11.0"/>
      </rPr>
      <t>→</t>
    </r>
  </si>
  <si>
    <r>
      <rPr>
        <rFont val="Calibri"/>
        <b/>
        <color theme="1"/>
        <sz val="11.0"/>
      </rPr>
      <t xml:space="preserve">Rata-Rata Capaian Kinerja Sasaran 4.1 </t>
    </r>
    <r>
      <rPr>
        <rFont val="Calibri"/>
        <b/>
        <color theme="1"/>
        <sz val="11.0"/>
      </rPr>
      <t>→</t>
    </r>
  </si>
  <si>
    <r>
      <rPr>
        <rFont val="Calibri"/>
        <b/>
        <color theme="1"/>
        <sz val="11.0"/>
      </rPr>
      <t xml:space="preserve">Rata-Rata Capaian Kinerja BPS Provinsi </t>
    </r>
    <r>
      <rPr>
        <rFont val="Calibri"/>
        <b/>
        <color theme="1"/>
        <sz val="11.0"/>
      </rPr>
      <t>→</t>
    </r>
  </si>
  <si>
    <r>
      <rPr>
        <rFont val="Calibri"/>
        <b/>
        <color theme="1"/>
        <sz val="11.0"/>
      </rPr>
      <t xml:space="preserve">Rata-Rata Capaian Kinerja </t>
    </r>
    <r>
      <rPr>
        <rFont val="Calibri"/>
        <b/>
        <color theme="1"/>
        <sz val="11.0"/>
      </rPr>
      <t>→</t>
    </r>
  </si>
  <si>
    <r>
      <rPr>
        <rFont val="Calibri"/>
        <b/>
        <color theme="1"/>
        <sz val="11.0"/>
      </rPr>
      <t xml:space="preserve">Rata-Rata Capaian Kinerja </t>
    </r>
    <r>
      <rPr>
        <rFont val="Calibri"/>
        <b/>
        <color theme="1"/>
        <sz val="11.0"/>
      </rPr>
      <t>→</t>
    </r>
  </si>
  <si>
    <r>
      <rPr>
        <rFont val="Calibri"/>
        <b/>
        <color theme="1"/>
        <sz val="11.0"/>
      </rPr>
      <t xml:space="preserve">Rata-Rata Capaian Kinerja </t>
    </r>
    <r>
      <rPr>
        <rFont val="Calibri"/>
        <b/>
        <color theme="1"/>
        <sz val="11.0"/>
      </rPr>
      <t>→</t>
    </r>
  </si>
  <si>
    <r>
      <rPr>
        <rFont val="Calibri"/>
        <b/>
        <color theme="1"/>
        <sz val="11.0"/>
      </rPr>
      <t xml:space="preserve">Rata-Rata Capaian Kinerja </t>
    </r>
    <r>
      <rPr>
        <rFont val="Calibri"/>
        <b/>
        <color theme="1"/>
        <sz val="11.0"/>
      </rPr>
      <t>→</t>
    </r>
  </si>
  <si>
    <r>
      <rPr>
        <rFont val="Calibri"/>
        <b/>
        <color theme="1"/>
        <sz val="11.0"/>
      </rPr>
      <t xml:space="preserve">Rata-Rata Capaian Kinerja </t>
    </r>
    <r>
      <rPr>
        <rFont val="Calibri"/>
        <b/>
        <color theme="1"/>
        <sz val="11.0"/>
      </rPr>
      <t>→</t>
    </r>
  </si>
  <si>
    <r>
      <rPr>
        <rFont val="Calibri"/>
        <b/>
        <color theme="1"/>
        <sz val="11.0"/>
      </rPr>
      <t xml:space="preserve">Rata-Rata Capaian Kinerja </t>
    </r>
    <r>
      <rPr>
        <rFont val="Calibri"/>
        <b/>
        <color theme="1"/>
        <sz val="11.0"/>
      </rPr>
      <t>→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</si>
</sst>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_);\(0\)"/>
    <numFmt numFmtId="165" formatCode="0.0000000000000000"/>
  </numFmts>
  <fonts count="19">
    <font>
      <sz val="11.0"/>
      <color theme="1"/>
      <name val="Arial"/>
      <scheme val="minor"/>
    </font>
    <font>
      <sz val="11.0"/>
      <color theme="0"/>
      <name val="Calibri"/>
    </font>
    <font>
      <sz val="11.0"/>
      <color theme="1"/>
      <name val="Arial"/>
    </font>
    <font>
      <sz val="11.0"/>
      <color theme="0"/>
      <name val="Arial"/>
    </font>
    <font>
      <b/>
      <sz val="16.0"/>
      <color theme="1"/>
      <name val="Calibri"/>
    </font>
    <font>
      <sz val="11.0"/>
      <color theme="1"/>
      <name val="Calibri"/>
    </font>
    <font>
      <b/>
      <sz val="11.0"/>
      <color theme="1"/>
      <name val="Calibri"/>
    </font>
    <font/>
    <font>
      <sz val="10.0"/>
      <color theme="1"/>
      <name val="Calibri"/>
    </font>
    <font>
      <sz val="11.0"/>
      <color rgb="FF000000"/>
      <name val="Calibri"/>
    </font>
    <font>
      <sz val="8.0"/>
      <color theme="1"/>
      <name val="Calibri"/>
    </font>
    <font>
      <sz val="8.0"/>
      <color theme="0"/>
      <name val="Calibri"/>
    </font>
    <font>
      <i/>
      <sz val="11.0"/>
      <color theme="1"/>
      <name val="Calibri"/>
    </font>
    <font>
      <b/>
      <sz val="11.0"/>
      <color theme="0"/>
      <name val="Calibri"/>
    </font>
    <font>
      <b/>
      <sz val="11.0"/>
      <color theme="1"/>
      <name val="Arial"/>
    </font>
    <font>
      <b/>
      <sz val="11.0"/>
      <color theme="0"/>
      <name val="Arial"/>
    </font>
    <font>
      <sz val="11.0"/>
      <color rgb="FFFF0000"/>
      <name val="Calibri"/>
    </font>
    <font>
      <color theme="1"/>
      <name val="Arial"/>
      <scheme val="minor"/>
    </font>
    <font>
      <i/>
      <sz val="11.0"/>
      <color rgb="FF000000"/>
      <name val="Calibri"/>
    </font>
  </fonts>
  <fills count="16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FEF2CB"/>
        <bgColor rgb="FFFEF2CB"/>
      </patternFill>
    </fill>
    <fill>
      <patternFill patternType="solid">
        <fgColor rgb="FFA5A5A5"/>
        <bgColor rgb="FFA5A5A5"/>
      </patternFill>
    </fill>
    <fill>
      <patternFill patternType="solid">
        <fgColor rgb="FFC5E0B3"/>
        <bgColor rgb="FFC5E0B3"/>
      </patternFill>
    </fill>
    <fill>
      <patternFill patternType="solid">
        <fgColor rgb="FFBFBFBF"/>
        <bgColor rgb="FFBFBFBF"/>
      </patternFill>
    </fill>
    <fill>
      <patternFill patternType="solid">
        <fgColor rgb="FFB4C6E7"/>
        <bgColor rgb="FFB4C6E7"/>
      </patternFill>
    </fill>
    <fill>
      <patternFill patternType="solid">
        <fgColor theme="0"/>
        <bgColor theme="0"/>
      </patternFill>
    </fill>
    <fill>
      <patternFill patternType="solid">
        <fgColor rgb="FFFFE598"/>
        <bgColor rgb="FFFFE598"/>
      </patternFill>
    </fill>
    <fill>
      <patternFill patternType="solid">
        <fgColor rgb="FFFF9999"/>
        <bgColor rgb="FFFF9999"/>
      </patternFill>
    </fill>
    <fill>
      <patternFill patternType="solid">
        <fgColor rgb="FFF7CAAC"/>
        <bgColor rgb="FFF7CAAC"/>
      </patternFill>
    </fill>
    <fill>
      <patternFill patternType="solid">
        <fgColor rgb="FFFF99FF"/>
        <bgColor rgb="FFFF99FF"/>
      </patternFill>
    </fill>
    <fill>
      <patternFill patternType="solid">
        <fgColor rgb="FFFFF2CC"/>
        <bgColor rgb="FFFFF2CC"/>
      </patternFill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</fills>
  <borders count="74">
    <border/>
    <border>
      <left style="thin">
        <color rgb="FF000000"/>
      </left>
      <top style="double">
        <color rgb="FF000000"/>
      </top>
    </border>
    <border>
      <top style="double">
        <color rgb="FF000000"/>
      </top>
    </border>
    <border>
      <left/>
      <right style="thin">
        <color rgb="FF000000"/>
      </right>
      <top style="double">
        <color rgb="FF000000"/>
      </top>
      <bottom/>
    </border>
    <border>
      <left style="thin">
        <color rgb="FF000000"/>
      </left>
      <top style="double">
        <color rgb="FF000000"/>
      </top>
      <bottom style="thin">
        <color rgb="FF000000"/>
      </bottom>
    </border>
    <border>
      <top style="double">
        <color rgb="FF000000"/>
      </top>
      <bottom style="thin">
        <color rgb="FF000000"/>
      </bottom>
    </border>
    <border>
      <right style="thin">
        <color rgb="FF000000"/>
      </right>
      <top style="double">
        <color rgb="FF000000"/>
      </top>
      <bottom style="thin">
        <color rgb="FF000000"/>
      </bottom>
    </border>
    <border>
      <left style="thin">
        <color rgb="FF000000"/>
      </left>
    </border>
    <border>
      <left/>
      <right style="thin">
        <color rgb="FF000000"/>
      </right>
      <top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left/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double">
        <color rgb="FF000000"/>
      </bottom>
    </border>
    <border>
      <top style="thin">
        <color rgb="FF000000"/>
      </top>
      <bottom style="double">
        <color rgb="FF000000"/>
      </bottom>
    </border>
    <border>
      <left/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/>
      <top style="thin">
        <color rgb="FF000000"/>
      </top>
      <bottom style="double">
        <color rgb="FF000000"/>
      </bottom>
    </border>
    <border>
      <left style="thin">
        <color rgb="FFA5A5A5"/>
      </left>
      <right style="thin">
        <color rgb="FFA5A5A5"/>
      </right>
      <top style="double">
        <color rgb="FF000000"/>
      </top>
      <bottom style="thin">
        <color rgb="FFA5A5A5"/>
      </bottom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</border>
    <border>
      <left style="thin">
        <color rgb="FFA5A5A5"/>
      </left>
      <right style="thin">
        <color rgb="FFA5A5A5"/>
      </right>
      <top style="thin">
        <color rgb="FFA5A5A5"/>
      </top>
    </border>
    <border>
      <left style="thin">
        <color rgb="FFA5A5A5"/>
      </left>
      <right/>
      <top style="thin">
        <color rgb="FFA5A5A5"/>
      </top>
      <bottom style="thin">
        <color rgb="FFA5A5A5"/>
      </bottom>
    </border>
    <border>
      <left style="medium">
        <color rgb="FF595959"/>
      </left>
      <right style="medium">
        <color rgb="FF595959"/>
      </right>
      <top style="medium">
        <color rgb="FF595959"/>
      </top>
      <bottom/>
    </border>
    <border>
      <left/>
      <right style="thin">
        <color rgb="FFA5A5A5"/>
      </right>
      <top style="thin">
        <color rgb="FFA5A5A5"/>
      </top>
      <bottom style="thin">
        <color rgb="FFA5A5A5"/>
      </bottom>
    </border>
    <border>
      <left style="thin">
        <color rgb="FFA5A5A5"/>
      </left>
      <top style="thin">
        <color rgb="FFA5A5A5"/>
      </top>
      <bottom style="thin">
        <color rgb="FFA5A5A5"/>
      </bottom>
    </border>
    <border>
      <left style="medium">
        <color rgb="FF595959"/>
      </left>
      <right style="medium">
        <color rgb="FF595959"/>
      </right>
      <top style="thin">
        <color rgb="FFA5A5A5"/>
      </top>
      <bottom style="thin">
        <color rgb="FFA5A5A5"/>
      </bottom>
    </border>
    <border>
      <right style="thin">
        <color rgb="FFA5A5A5"/>
      </right>
      <top style="thin">
        <color rgb="FFA5A5A5"/>
      </top>
      <bottom style="thin">
        <color rgb="FFA5A5A5"/>
      </bottom>
    </border>
    <border>
      <left style="medium">
        <color rgb="FF833C0B"/>
      </left>
      <right style="medium">
        <color rgb="FF833C0B"/>
      </right>
      <top style="thin">
        <color rgb="FFA5A5A5"/>
      </top>
      <bottom style="thin">
        <color rgb="FFA5A5A5"/>
      </bottom>
    </border>
    <border>
      <left style="medium">
        <color rgb="FF595959"/>
      </left>
      <right style="medium">
        <color rgb="FF595959"/>
      </right>
    </border>
    <border>
      <left style="medium">
        <color rgb="FF833C0B"/>
      </left>
      <right style="medium">
        <color rgb="FF833C0B"/>
      </right>
      <top style="thin">
        <color rgb="FFA5A5A5"/>
      </top>
      <bottom/>
    </border>
    <border>
      <left style="medium">
        <color rgb="FF595959"/>
      </left>
      <right style="medium">
        <color rgb="FF595959"/>
      </right>
      <top/>
      <bottom/>
    </border>
    <border>
      <left style="medium">
        <color rgb="FF833C0B"/>
      </left>
      <right style="medium">
        <color rgb="FF833C0B"/>
      </right>
      <top/>
      <bottom style="medium">
        <color rgb="FF833C0B"/>
      </bottom>
    </border>
    <border>
      <left style="thin">
        <color rgb="FFA5A5A5"/>
      </left>
      <right style="thin">
        <color rgb="FFA5A5A5"/>
      </right>
      <bottom style="thin">
        <color rgb="FFA5A5A5"/>
      </bottom>
    </border>
    <border>
      <left/>
      <right style="thin">
        <color rgb="FF000000"/>
      </right>
      <top style="double">
        <color rgb="FF000000"/>
      </top>
    </border>
    <border>
      <left/>
      <right style="thin">
        <color rgb="FF000000"/>
      </right>
    </border>
    <border>
      <left style="thin">
        <color rgb="FFA5A5A5"/>
      </left>
      <right style="thin">
        <color rgb="FFA5A5A5"/>
      </right>
      <top style="double">
        <color rgb="FF000000"/>
      </top>
    </border>
    <border>
      <left style="medium">
        <color theme="9"/>
      </left>
      <right style="medium">
        <color theme="9"/>
      </right>
      <top style="thin">
        <color rgb="FFA5A5A5"/>
      </top>
      <bottom style="thin">
        <color rgb="FFA5A5A5"/>
      </bottom>
    </border>
    <border>
      <left style="medium">
        <color theme="9"/>
      </left>
      <right style="medium">
        <color theme="9"/>
      </right>
      <top style="thin">
        <color rgb="FFA5A5A5"/>
      </top>
      <bottom style="medium">
        <color theme="9"/>
      </bottom>
    </border>
    <border>
      <right style="thin">
        <color rgb="FF000000"/>
      </right>
      <top style="double">
        <color rgb="FF000000"/>
      </top>
    </border>
    <border>
      <left style="thin">
        <color rgb="FF000000"/>
      </left>
      <right style="thin">
        <color rgb="FF000000"/>
      </right>
      <top style="double">
        <color rgb="FF000000"/>
      </top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double">
        <color rgb="FF000000"/>
      </bottom>
    </border>
    <border>
      <left style="medium">
        <color theme="7"/>
      </left>
      <right style="medium">
        <color theme="7"/>
      </right>
      <top style="medium">
        <color theme="7"/>
      </top>
      <bottom style="medium">
        <color theme="7"/>
      </bottom>
    </border>
    <border>
      <left style="medium">
        <color theme="7"/>
      </left>
      <right style="medium">
        <color theme="7"/>
      </right>
      <top style="thin">
        <color rgb="FFA5A5A5"/>
      </top>
      <bottom style="medium">
        <color theme="7"/>
      </bottom>
    </border>
    <border>
      <left style="medium">
        <color rgb="FFFF5050"/>
      </left>
      <right style="medium">
        <color rgb="FFFF5050"/>
      </right>
      <top style="medium">
        <color rgb="FFFF5050"/>
      </top>
      <bottom style="medium">
        <color rgb="FFFF5050"/>
      </bottom>
    </border>
    <border>
      <left style="medium">
        <color theme="5"/>
      </left>
      <right style="medium">
        <color theme="5"/>
      </right>
      <top style="medium">
        <color theme="5"/>
      </top>
      <bottom style="medium">
        <color theme="5"/>
      </bottom>
    </border>
    <border>
      <left/>
      <right style="thin">
        <color rgb="FFA5A5A5"/>
      </right>
      <top style="medium">
        <color rgb="FFED7D31"/>
      </top>
      <bottom style="thin">
        <color rgb="FFA5A5A5"/>
      </bottom>
    </border>
    <border>
      <left style="medium">
        <color theme="5"/>
      </left>
      <right style="medium">
        <color theme="5"/>
      </right>
      <top style="thin">
        <color rgb="FFA5A5A5"/>
      </top>
      <bottom style="medium">
        <color theme="5"/>
      </bottom>
    </border>
    <border>
      <left style="medium">
        <color theme="9"/>
      </left>
      <right style="medium">
        <color theme="9"/>
      </right>
      <top style="medium">
        <color theme="9"/>
      </top>
      <bottom style="thin">
        <color rgb="FFA5A5A5"/>
      </bottom>
    </border>
    <border>
      <left style="thin">
        <color rgb="FFA5A5A5"/>
      </left>
      <right style="thin">
        <color rgb="FFA5A5A5"/>
      </right>
      <top/>
      <bottom style="thin">
        <color rgb="FFA5A5A5"/>
      </bottom>
    </border>
    <border>
      <left style="medium">
        <color theme="9"/>
      </left>
      <right style="medium">
        <color theme="9"/>
      </right>
      <top/>
      <bottom style="thin">
        <color rgb="FFA5A5A5"/>
      </bottom>
    </border>
    <border>
      <left style="medium">
        <color theme="8"/>
      </left>
      <right style="medium">
        <color theme="8"/>
      </right>
      <top style="medium">
        <color theme="8"/>
      </top>
      <bottom style="medium">
        <color theme="8"/>
      </bottom>
    </border>
    <border>
      <left style="thin">
        <color rgb="FFA5A5A5"/>
      </left>
      <right style="thin">
        <color rgb="FFA5A5A5"/>
      </right>
      <top style="thin">
        <color rgb="FFA5A5A5"/>
      </top>
      <bottom/>
    </border>
    <border>
      <left/>
      <right/>
      <top/>
      <bottom/>
    </border>
    <border>
      <left style="thin">
        <color rgb="FFBDBDBD"/>
      </left>
      <right style="thin">
        <color rgb="FFBDBDBD"/>
      </right>
      <top style="thin">
        <color rgb="FFBDBDBD"/>
      </top>
      <bottom style="thin">
        <color rgb="FFBDBDBD"/>
      </bottom>
    </border>
    <border>
      <left/>
      <top/>
      <bottom/>
    </border>
    <border>
      <right/>
      <top/>
      <bottom/>
    </border>
    <border>
      <right style="thin">
        <color rgb="FFA5A5A5"/>
      </right>
      <top style="thin">
        <color rgb="FFA5A5A5"/>
      </top>
    </border>
    <border>
      <right style="thin">
        <color rgb="FFA5A5A5"/>
      </right>
      <bottom style="thin">
        <color rgb="FFA5A5A5"/>
      </bottom>
    </border>
    <border>
      <left style="thin">
        <color rgb="FFA5A5A5"/>
      </left>
      <top/>
      <bottom style="thin">
        <color rgb="FFA5A5A5"/>
      </bottom>
    </border>
    <border>
      <right style="thin">
        <color rgb="FFA5A5A5"/>
      </right>
      <top/>
      <bottom style="thin">
        <color rgb="FFA5A5A5"/>
      </bottom>
    </border>
    <border>
      <left style="medium">
        <color rgb="FFFF5050"/>
      </left>
      <right style="medium">
        <color rgb="FFFF5050"/>
      </right>
      <top style="thin">
        <color rgb="FFA5A5A5"/>
      </top>
      <bottom style="medium">
        <color rgb="FFFF5050"/>
      </bottom>
    </border>
    <border>
      <left style="thin">
        <color rgb="FFA5A5A5"/>
      </left>
      <right style="thin">
        <color rgb="FFA5A5A5"/>
      </right>
    </border>
    <border>
      <left style="medium">
        <color rgb="FF7030A0"/>
      </left>
      <right style="medium">
        <color rgb="FF7030A0"/>
      </right>
      <top style="medium">
        <color rgb="FF7030A0"/>
      </top>
      <bottom style="thin">
        <color rgb="FFA5A5A5"/>
      </bottom>
    </border>
    <border>
      <left style="medium">
        <color rgb="FF7030A0"/>
      </left>
      <right style="medium">
        <color rgb="FF7030A0"/>
      </right>
      <top style="thin">
        <color rgb="FFA5A5A5"/>
      </top>
      <bottom style="thin">
        <color rgb="FFA5A5A5"/>
      </bottom>
    </border>
    <border>
      <left style="medium">
        <color rgb="FF7030A0"/>
      </left>
      <right style="medium">
        <color rgb="FF7030A0"/>
      </right>
      <top style="thin">
        <color rgb="FFA5A5A5"/>
      </top>
      <bottom style="medium">
        <color rgb="FF7030A0"/>
      </bottom>
    </border>
  </borders>
  <cellStyleXfs count="1">
    <xf borderId="0" fillId="0" fontId="0" numFmtId="0" applyAlignment="1" applyFont="1"/>
  </cellStyleXfs>
  <cellXfs count="38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Font="1"/>
    <xf borderId="0" fillId="0" fontId="4" numFmtId="0" xfId="0" applyFont="1"/>
    <xf borderId="0" fillId="0" fontId="5" numFmtId="0" xfId="0" applyFont="1"/>
    <xf borderId="0" fillId="0" fontId="5" numFmtId="0" xfId="0" applyAlignment="1" applyFont="1">
      <alignment shrinkToFit="0" wrapText="1"/>
    </xf>
    <xf borderId="1" fillId="2" fontId="6" numFmtId="0" xfId="0" applyAlignment="1" applyBorder="1" applyFill="1" applyFont="1">
      <alignment horizontal="center" shrinkToFit="0" vertical="center" wrapText="1"/>
    </xf>
    <xf borderId="2" fillId="0" fontId="7" numFmtId="0" xfId="0" applyBorder="1" applyFont="1"/>
    <xf borderId="3" fillId="2" fontId="6" numFmtId="0" xfId="0" applyAlignment="1" applyBorder="1" applyFont="1">
      <alignment horizontal="center" shrinkToFit="0" vertical="center" wrapText="1"/>
    </xf>
    <xf borderId="4" fillId="2" fontId="6" numFmtId="0" xfId="0" applyAlignment="1" applyBorder="1" applyFont="1">
      <alignment horizontal="center" vertical="center"/>
    </xf>
    <xf borderId="5" fillId="0" fontId="7" numFmtId="0" xfId="0" applyBorder="1" applyFont="1"/>
    <xf borderId="6" fillId="0" fontId="7" numFmtId="0" xfId="0" applyBorder="1" applyFont="1"/>
    <xf borderId="7" fillId="0" fontId="7" numFmtId="0" xfId="0" applyBorder="1" applyFont="1"/>
    <xf borderId="8" fillId="2" fontId="6" numFmtId="0" xfId="0" applyAlignment="1" applyBorder="1" applyFont="1">
      <alignment horizontal="center" vertical="center"/>
    </xf>
    <xf borderId="9" fillId="2" fontId="6" numFmtId="0" xfId="0" applyAlignment="1" applyBorder="1" applyFont="1">
      <alignment horizontal="center" vertical="center"/>
    </xf>
    <xf borderId="10" fillId="2" fontId="6" numFmtId="0" xfId="0" applyAlignment="1" applyBorder="1" applyFont="1">
      <alignment horizontal="center" vertical="center"/>
    </xf>
    <xf borderId="11" fillId="0" fontId="7" numFmtId="0" xfId="0" applyBorder="1" applyFont="1"/>
    <xf borderId="12" fillId="0" fontId="7" numFmtId="0" xfId="0" applyBorder="1" applyFont="1"/>
    <xf borderId="13" fillId="0" fontId="7" numFmtId="0" xfId="0" applyBorder="1" applyFont="1"/>
    <xf borderId="14" fillId="0" fontId="7" numFmtId="0" xfId="0" applyBorder="1" applyFont="1"/>
    <xf borderId="15" fillId="0" fontId="7" numFmtId="0" xfId="0" applyBorder="1" applyFont="1"/>
    <xf borderId="16" fillId="0" fontId="7" numFmtId="0" xfId="0" applyBorder="1" applyFont="1"/>
    <xf borderId="17" fillId="2" fontId="6" numFmtId="0" xfId="0" applyAlignment="1" applyBorder="1" applyFont="1">
      <alignment horizontal="center" shrinkToFit="0" vertical="center" wrapText="1"/>
    </xf>
    <xf borderId="18" fillId="2" fontId="6" numFmtId="0" xfId="0" applyAlignment="1" applyBorder="1" applyFont="1">
      <alignment horizontal="center" shrinkToFit="0" vertical="center" wrapText="1"/>
    </xf>
    <xf borderId="7" fillId="0" fontId="5" numFmtId="0" xfId="0" applyBorder="1" applyFont="1"/>
    <xf borderId="19" fillId="2" fontId="8" numFmtId="164" xfId="0" applyAlignment="1" applyBorder="1" applyFont="1" applyNumberFormat="1">
      <alignment horizontal="center" shrinkToFit="0" vertical="center" wrapText="1"/>
    </xf>
    <xf borderId="20" fillId="0" fontId="7" numFmtId="0" xfId="0" applyBorder="1" applyFont="1"/>
    <xf borderId="21" fillId="2" fontId="6" numFmtId="0" xfId="0" applyAlignment="1" applyBorder="1" applyFont="1">
      <alignment horizontal="center" vertical="center"/>
    </xf>
    <xf quotePrefix="1" borderId="22" fillId="2" fontId="8" numFmtId="0" xfId="0" applyAlignment="1" applyBorder="1" applyFont="1">
      <alignment horizontal="center" vertical="center"/>
    </xf>
    <xf quotePrefix="1" borderId="22" fillId="2" fontId="6" numFmtId="0" xfId="0" applyAlignment="1" applyBorder="1" applyFont="1">
      <alignment horizontal="center" vertical="center"/>
    </xf>
    <xf quotePrefix="1" borderId="23" fillId="2" fontId="6" numFmtId="0" xfId="0" applyAlignment="1" applyBorder="1" applyFont="1">
      <alignment horizontal="center" vertical="center"/>
    </xf>
    <xf borderId="24" fillId="0" fontId="6" numFmtId="0" xfId="0" applyAlignment="1" applyBorder="1" applyFont="1">
      <alignment horizontal="left" vertical="center"/>
    </xf>
    <xf borderId="24" fillId="0" fontId="6" numFmtId="0" xfId="0" applyAlignment="1" applyBorder="1" applyFont="1">
      <alignment horizontal="center" vertical="center"/>
    </xf>
    <xf borderId="24" fillId="0" fontId="5" numFmtId="0" xfId="0" applyAlignment="1" applyBorder="1" applyFont="1">
      <alignment horizontal="center" vertical="center"/>
    </xf>
    <xf borderId="24" fillId="0" fontId="5" numFmtId="0" xfId="0" applyBorder="1" applyFont="1"/>
    <xf borderId="24" fillId="0" fontId="5" numFmtId="0" xfId="0" applyAlignment="1" applyBorder="1" applyFont="1">
      <alignment shrinkToFit="0" wrapText="1"/>
    </xf>
    <xf borderId="25" fillId="0" fontId="6" numFmtId="0" xfId="0" applyAlignment="1" applyBorder="1" applyFont="1">
      <alignment horizontal="left"/>
    </xf>
    <xf borderId="25" fillId="0" fontId="6" numFmtId="0" xfId="0" applyBorder="1" applyFont="1"/>
    <xf borderId="25" fillId="0" fontId="5" numFmtId="0" xfId="0" applyBorder="1" applyFont="1"/>
    <xf borderId="26" fillId="0" fontId="5" numFmtId="0" xfId="0" applyBorder="1" applyFont="1"/>
    <xf borderId="25" fillId="0" fontId="5" numFmtId="0" xfId="0" applyAlignment="1" applyBorder="1" applyFont="1">
      <alignment horizontal="left" vertical="center"/>
    </xf>
    <xf borderId="25" fillId="3" fontId="5" numFmtId="0" xfId="0" applyBorder="1" applyFill="1" applyFont="1"/>
    <xf borderId="27" fillId="3" fontId="5" numFmtId="0" xfId="0" applyBorder="1" applyFont="1"/>
    <xf borderId="28" fillId="3" fontId="5" numFmtId="0" xfId="0" applyBorder="1" applyFont="1"/>
    <xf borderId="29" fillId="3" fontId="5" numFmtId="0" xfId="0" applyBorder="1" applyFont="1"/>
    <xf borderId="25" fillId="0" fontId="5" numFmtId="2" xfId="0" applyBorder="1" applyFont="1" applyNumberFormat="1"/>
    <xf borderId="25" fillId="0" fontId="2" numFmtId="2" xfId="0" applyBorder="1" applyFont="1" applyNumberFormat="1"/>
    <xf borderId="30" fillId="0" fontId="2" numFmtId="2" xfId="0" applyBorder="1" applyFont="1" applyNumberFormat="1"/>
    <xf borderId="31" fillId="0" fontId="5" numFmtId="2" xfId="0" applyBorder="1" applyFont="1" applyNumberFormat="1"/>
    <xf borderId="32" fillId="0" fontId="2" numFmtId="2" xfId="0" applyBorder="1" applyFont="1" applyNumberFormat="1"/>
    <xf borderId="25" fillId="2" fontId="6" numFmtId="0" xfId="0" applyAlignment="1" applyBorder="1" applyFont="1">
      <alignment horizontal="left"/>
    </xf>
    <xf borderId="25" fillId="2" fontId="6" numFmtId="0" xfId="0" applyBorder="1" applyFont="1"/>
    <xf borderId="25" fillId="2" fontId="5" numFmtId="0" xfId="0" applyBorder="1" applyFont="1"/>
    <xf borderId="25" fillId="2" fontId="6" numFmtId="0" xfId="0" applyAlignment="1" applyBorder="1" applyFont="1">
      <alignment horizontal="right"/>
    </xf>
    <xf borderId="25" fillId="2" fontId="5" numFmtId="0" xfId="0" applyAlignment="1" applyBorder="1" applyFont="1">
      <alignment horizontal="center"/>
    </xf>
    <xf borderId="27" fillId="2" fontId="5" numFmtId="0" xfId="0" applyAlignment="1" applyBorder="1" applyFont="1">
      <alignment horizontal="center"/>
    </xf>
    <xf borderId="33" fillId="2" fontId="5" numFmtId="0" xfId="0" applyAlignment="1" applyBorder="1" applyFont="1">
      <alignment horizontal="center"/>
    </xf>
    <xf borderId="29" fillId="2" fontId="5" numFmtId="0" xfId="0" applyAlignment="1" applyBorder="1" applyFont="1">
      <alignment horizontal="center"/>
    </xf>
    <xf borderId="25" fillId="2" fontId="6" numFmtId="2" xfId="0" applyAlignment="1" applyBorder="1" applyFont="1" applyNumberFormat="1">
      <alignment shrinkToFit="0" wrapText="1"/>
    </xf>
    <xf borderId="30" fillId="0" fontId="5" numFmtId="0" xfId="0" applyBorder="1" applyFont="1"/>
    <xf borderId="34" fillId="0" fontId="5" numFmtId="0" xfId="0" applyAlignment="1" applyBorder="1" applyFont="1">
      <alignment shrinkToFit="0" wrapText="1"/>
    </xf>
    <xf borderId="32" fillId="0" fontId="5" numFmtId="0" xfId="0" applyBorder="1" applyFont="1"/>
    <xf borderId="25" fillId="0" fontId="5" numFmtId="0" xfId="0" applyAlignment="1" applyBorder="1" applyFont="1">
      <alignment shrinkToFit="0" wrapText="1"/>
    </xf>
    <xf borderId="30" fillId="0" fontId="5" numFmtId="0" xfId="0" applyAlignment="1" applyBorder="1" applyFont="1">
      <alignment shrinkToFit="0" wrapText="1"/>
    </xf>
    <xf borderId="32" fillId="0" fontId="5" numFmtId="0" xfId="0" applyAlignment="1" applyBorder="1" applyFont="1">
      <alignment shrinkToFit="0" wrapText="1"/>
    </xf>
    <xf borderId="25" fillId="0" fontId="2" numFmtId="0" xfId="0" applyBorder="1" applyFont="1"/>
    <xf borderId="30" fillId="0" fontId="2" numFmtId="0" xfId="0" applyBorder="1" applyFont="1"/>
    <xf borderId="31" fillId="0" fontId="5" numFmtId="0" xfId="0" applyAlignment="1" applyBorder="1" applyFont="1">
      <alignment shrinkToFit="0" wrapText="1"/>
    </xf>
    <xf borderId="32" fillId="0" fontId="2" numFmtId="0" xfId="0" applyBorder="1" applyFont="1"/>
    <xf borderId="25" fillId="0" fontId="9" numFmtId="0" xfId="0" applyBorder="1" applyFont="1"/>
    <xf borderId="35" fillId="3" fontId="5" numFmtId="0" xfId="0" applyBorder="1" applyFont="1"/>
    <xf borderId="36" fillId="2" fontId="5" numFmtId="0" xfId="0" applyAlignment="1" applyBorder="1" applyFont="1">
      <alignment horizontal="center"/>
    </xf>
    <xf borderId="33" fillId="0" fontId="5" numFmtId="0" xfId="0" applyBorder="1" applyFont="1"/>
    <xf borderId="36" fillId="3" fontId="5" numFmtId="0" xfId="0" applyBorder="1" applyFont="1"/>
    <xf borderId="33" fillId="3" fontId="5" numFmtId="0" xfId="0" applyBorder="1" applyFont="1"/>
    <xf borderId="37" fillId="2" fontId="5" numFmtId="0" xfId="0" applyAlignment="1" applyBorder="1" applyFont="1">
      <alignment horizontal="center"/>
    </xf>
    <xf borderId="38" fillId="0" fontId="5" numFmtId="0" xfId="0" applyBorder="1" applyFont="1"/>
    <xf borderId="25" fillId="4" fontId="6" numFmtId="0" xfId="0" applyAlignment="1" applyBorder="1" applyFill="1" applyFont="1">
      <alignment horizontal="left"/>
    </xf>
    <xf borderId="25" fillId="4" fontId="6" numFmtId="0" xfId="0" applyBorder="1" applyFont="1"/>
    <xf borderId="25" fillId="4" fontId="5" numFmtId="0" xfId="0" applyBorder="1" applyFont="1"/>
    <xf borderId="25" fillId="4" fontId="6" numFmtId="0" xfId="0" applyAlignment="1" applyBorder="1" applyFont="1">
      <alignment horizontal="center" vertical="center"/>
    </xf>
    <xf borderId="25" fillId="4" fontId="5" numFmtId="0" xfId="0" applyAlignment="1" applyBorder="1" applyFont="1">
      <alignment horizontal="center"/>
    </xf>
    <xf borderId="25" fillId="4" fontId="6" numFmtId="2" xfId="0" applyAlignment="1" applyBorder="1" applyFont="1" applyNumberFormat="1">
      <alignment shrinkToFit="0" vertical="center" wrapText="1"/>
    </xf>
    <xf borderId="0" fillId="0" fontId="6" numFmtId="0" xfId="0" applyAlignment="1" applyFont="1">
      <alignment horizontal="left"/>
    </xf>
    <xf borderId="0" fillId="0" fontId="6" numFmtId="0" xfId="0" applyFont="1"/>
    <xf borderId="0" fillId="0" fontId="6" numFmtId="0" xfId="0" applyAlignment="1" applyFont="1">
      <alignment horizontal="center" vertical="center"/>
    </xf>
    <xf borderId="0" fillId="0" fontId="5" numFmtId="0" xfId="0" applyAlignment="1" applyFont="1">
      <alignment horizontal="center"/>
    </xf>
    <xf borderId="0" fillId="0" fontId="6" numFmtId="2" xfId="0" applyAlignment="1" applyFont="1" applyNumberFormat="1">
      <alignment shrinkToFit="0" vertical="center" wrapText="1"/>
    </xf>
    <xf borderId="1" fillId="5" fontId="6" numFmtId="0" xfId="0" applyAlignment="1" applyBorder="1" applyFill="1" applyFont="1">
      <alignment horizontal="center" shrinkToFit="0" vertical="center" wrapText="1"/>
    </xf>
    <xf borderId="39" fillId="5" fontId="6" numFmtId="0" xfId="0" applyAlignment="1" applyBorder="1" applyFont="1">
      <alignment horizontal="center" shrinkToFit="0" vertical="center" wrapText="1"/>
    </xf>
    <xf borderId="4" fillId="5" fontId="6" numFmtId="0" xfId="0" applyAlignment="1" applyBorder="1" applyFont="1">
      <alignment horizontal="center" vertical="center"/>
    </xf>
    <xf borderId="40" fillId="0" fontId="7" numFmtId="0" xfId="0" applyBorder="1" applyFont="1"/>
    <xf borderId="9" fillId="5" fontId="6" numFmtId="0" xfId="0" applyAlignment="1" applyBorder="1" applyFont="1">
      <alignment horizontal="center" vertical="center"/>
    </xf>
    <xf borderId="10" fillId="5" fontId="6" numFmtId="0" xfId="0" applyAlignment="1" applyBorder="1" applyFont="1">
      <alignment horizontal="center" vertical="center"/>
    </xf>
    <xf borderId="17" fillId="5" fontId="6" numFmtId="0" xfId="0" applyAlignment="1" applyBorder="1" applyFont="1">
      <alignment horizontal="center" shrinkToFit="0" vertical="center" wrapText="1"/>
    </xf>
    <xf borderId="18" fillId="5" fontId="6" numFmtId="0" xfId="0" applyAlignment="1" applyBorder="1" applyFont="1">
      <alignment horizontal="center" shrinkToFit="0" vertical="center" wrapText="1"/>
    </xf>
    <xf borderId="19" fillId="5" fontId="10" numFmtId="164" xfId="0" applyAlignment="1" applyBorder="1" applyFont="1" applyNumberFormat="1">
      <alignment horizontal="center" shrinkToFit="0" vertical="center" wrapText="1"/>
    </xf>
    <xf borderId="21" fillId="5" fontId="10" numFmtId="164" xfId="0" applyAlignment="1" applyBorder="1" applyFont="1" applyNumberFormat="1">
      <alignment horizontal="center" vertical="center"/>
    </xf>
    <xf borderId="22" fillId="5" fontId="10" numFmtId="164" xfId="0" applyAlignment="1" applyBorder="1" applyFont="1" applyNumberFormat="1">
      <alignment horizontal="center" vertical="center"/>
    </xf>
    <xf borderId="7" fillId="0" fontId="10" numFmtId="0" xfId="0" applyBorder="1" applyFont="1"/>
    <xf borderId="0" fillId="0" fontId="11" numFmtId="0" xfId="0" applyFont="1"/>
    <xf borderId="41" fillId="0" fontId="5" numFmtId="0" xfId="0" applyAlignment="1" applyBorder="1" applyFont="1">
      <alignment shrinkToFit="0" wrapText="1"/>
    </xf>
    <xf borderId="25" fillId="0" fontId="5" numFmtId="0" xfId="0" applyAlignment="1" applyBorder="1" applyFont="1">
      <alignment horizontal="center" vertical="center"/>
    </xf>
    <xf borderId="42" fillId="3" fontId="5" numFmtId="0" xfId="0" applyBorder="1" applyFont="1"/>
    <xf borderId="25" fillId="3" fontId="5" numFmtId="1" xfId="0" applyBorder="1" applyFont="1" applyNumberFormat="1"/>
    <xf borderId="25" fillId="0" fontId="6" numFmtId="2" xfId="0" applyBorder="1" applyFont="1" applyNumberFormat="1"/>
    <xf borderId="43" fillId="0" fontId="6" numFmtId="2" xfId="0" applyBorder="1" applyFont="1" applyNumberFormat="1"/>
    <xf borderId="32" fillId="0" fontId="6" numFmtId="2" xfId="0" applyBorder="1" applyFont="1" applyNumberFormat="1"/>
    <xf borderId="25" fillId="0" fontId="12" numFmtId="0" xfId="0" applyBorder="1" applyFont="1"/>
    <xf borderId="25" fillId="2" fontId="12" numFmtId="0" xfId="0" applyAlignment="1" applyBorder="1" applyFont="1">
      <alignment horizontal="center" vertical="center"/>
    </xf>
    <xf borderId="25" fillId="6" fontId="5" numFmtId="0" xfId="0" applyBorder="1" applyFill="1" applyFont="1"/>
    <xf borderId="25" fillId="5" fontId="6" numFmtId="0" xfId="0" applyAlignment="1" applyBorder="1" applyFont="1">
      <alignment horizontal="left"/>
    </xf>
    <xf borderId="25" fillId="5" fontId="6" numFmtId="0" xfId="0" applyBorder="1" applyFont="1"/>
    <xf borderId="25" fillId="5" fontId="5" numFmtId="0" xfId="0" applyBorder="1" applyFont="1"/>
    <xf borderId="25" fillId="5" fontId="6" numFmtId="0" xfId="0" applyAlignment="1" applyBorder="1" applyFont="1">
      <alignment horizontal="right"/>
    </xf>
    <xf borderId="25" fillId="5" fontId="5" numFmtId="0" xfId="0" applyAlignment="1" applyBorder="1" applyFont="1">
      <alignment horizontal="center"/>
    </xf>
    <xf borderId="25" fillId="5" fontId="6" numFmtId="2" xfId="0" applyAlignment="1" applyBorder="1" applyFont="1" applyNumberFormat="1">
      <alignment shrinkToFit="0" wrapText="1"/>
    </xf>
    <xf borderId="1" fillId="7" fontId="6" numFmtId="0" xfId="0" applyAlignment="1" applyBorder="1" applyFill="1" applyFont="1">
      <alignment horizontal="center" shrinkToFit="0" vertical="center" wrapText="1"/>
    </xf>
    <xf borderId="44" fillId="0" fontId="7" numFmtId="0" xfId="0" applyBorder="1" applyFont="1"/>
    <xf borderId="45" fillId="7" fontId="6" numFmtId="0" xfId="0" applyAlignment="1" applyBorder="1" applyFont="1">
      <alignment horizontal="center" shrinkToFit="0" vertical="center" wrapText="1"/>
    </xf>
    <xf borderId="4" fillId="7" fontId="6" numFmtId="0" xfId="0" applyAlignment="1" applyBorder="1" applyFont="1">
      <alignment horizontal="center" vertical="center"/>
    </xf>
    <xf borderId="46" fillId="0" fontId="7" numFmtId="0" xfId="0" applyBorder="1" applyFont="1"/>
    <xf borderId="47" fillId="0" fontId="7" numFmtId="0" xfId="0" applyBorder="1" applyFont="1"/>
    <xf borderId="9" fillId="7" fontId="6" numFmtId="0" xfId="0" applyAlignment="1" applyBorder="1" applyFont="1">
      <alignment horizontal="center" vertical="center"/>
    </xf>
    <xf borderId="10" fillId="7" fontId="6" numFmtId="0" xfId="0" applyAlignment="1" applyBorder="1" applyFont="1">
      <alignment horizontal="center" vertical="center"/>
    </xf>
    <xf borderId="48" fillId="0" fontId="7" numFmtId="0" xfId="0" applyBorder="1" applyFont="1"/>
    <xf borderId="17" fillId="7" fontId="6" numFmtId="0" xfId="0" applyAlignment="1" applyBorder="1" applyFont="1">
      <alignment horizontal="center" shrinkToFit="0" vertical="center" wrapText="1"/>
    </xf>
    <xf borderId="18" fillId="7" fontId="6" numFmtId="0" xfId="0" applyAlignment="1" applyBorder="1" applyFont="1">
      <alignment horizontal="center" shrinkToFit="0" vertical="center" wrapText="1"/>
    </xf>
    <xf borderId="19" fillId="7" fontId="10" numFmtId="164" xfId="0" applyAlignment="1" applyBorder="1" applyFont="1" applyNumberFormat="1">
      <alignment horizontal="center" shrinkToFit="0" vertical="center" wrapText="1"/>
    </xf>
    <xf borderId="49" fillId="0" fontId="7" numFmtId="0" xfId="0" applyBorder="1" applyFont="1"/>
    <xf borderId="22" fillId="7" fontId="10" numFmtId="164" xfId="0" applyAlignment="1" applyBorder="1" applyFont="1" applyNumberFormat="1">
      <alignment horizontal="center" vertical="center"/>
    </xf>
    <xf borderId="25" fillId="6" fontId="5" numFmtId="0" xfId="0" applyAlignment="1" applyBorder="1" applyFont="1">
      <alignment horizontal="right" vertical="center"/>
    </xf>
    <xf borderId="25" fillId="0" fontId="5" numFmtId="0" xfId="0" applyAlignment="1" applyBorder="1" applyFont="1">
      <alignment horizontal="center"/>
    </xf>
    <xf borderId="25" fillId="8" fontId="5" numFmtId="0" xfId="0" applyAlignment="1" applyBorder="1" applyFill="1" applyFont="1">
      <alignment horizontal="right" vertical="center"/>
    </xf>
    <xf borderId="25" fillId="8" fontId="5" numFmtId="0" xfId="0" applyBorder="1" applyFont="1"/>
    <xf borderId="25" fillId="2" fontId="12" numFmtId="0" xfId="0" applyAlignment="1" applyBorder="1" applyFont="1">
      <alignment horizontal="center"/>
    </xf>
    <xf borderId="25" fillId="6" fontId="5" numFmtId="2" xfId="0" applyAlignment="1" applyBorder="1" applyFont="1" applyNumberFormat="1">
      <alignment horizontal="right" vertical="center"/>
    </xf>
    <xf borderId="25" fillId="8" fontId="5" numFmtId="2" xfId="0" applyAlignment="1" applyBorder="1" applyFont="1" applyNumberFormat="1">
      <alignment horizontal="right" vertical="center"/>
    </xf>
    <xf borderId="25" fillId="8" fontId="5" numFmtId="4" xfId="0" applyBorder="1" applyFont="1" applyNumberFormat="1"/>
    <xf borderId="25" fillId="3" fontId="5" numFmtId="3" xfId="0" applyAlignment="1" applyBorder="1" applyFont="1" applyNumberFormat="1">
      <alignment horizontal="right"/>
    </xf>
    <xf borderId="25" fillId="3" fontId="5" numFmtId="0" xfId="0" applyAlignment="1" applyBorder="1" applyFont="1">
      <alignment horizontal="right"/>
    </xf>
    <xf borderId="25" fillId="6" fontId="5" numFmtId="1" xfId="0" applyAlignment="1" applyBorder="1" applyFont="1" applyNumberFormat="1">
      <alignment horizontal="right" vertical="center"/>
    </xf>
    <xf borderId="25" fillId="3" fontId="5" numFmtId="2" xfId="0" applyBorder="1" applyFont="1" applyNumberFormat="1"/>
    <xf borderId="25" fillId="7" fontId="6" numFmtId="0" xfId="0" applyAlignment="1" applyBorder="1" applyFont="1">
      <alignment horizontal="left"/>
    </xf>
    <xf borderId="25" fillId="7" fontId="6" numFmtId="0" xfId="0" applyBorder="1" applyFont="1"/>
    <xf borderId="25" fillId="7" fontId="5" numFmtId="0" xfId="0" applyBorder="1" applyFont="1"/>
    <xf borderId="25" fillId="7" fontId="6" numFmtId="0" xfId="0" applyAlignment="1" applyBorder="1" applyFont="1">
      <alignment horizontal="right"/>
    </xf>
    <xf borderId="25" fillId="7" fontId="5" numFmtId="0" xfId="0" applyAlignment="1" applyBorder="1" applyFont="1">
      <alignment horizontal="center"/>
    </xf>
    <xf borderId="25" fillId="7" fontId="6" numFmtId="2" xfId="0" applyAlignment="1" applyBorder="1" applyFont="1" applyNumberFormat="1">
      <alignment shrinkToFit="0" wrapText="1"/>
    </xf>
    <xf borderId="1" fillId="9" fontId="6" numFmtId="0" xfId="0" applyAlignment="1" applyBorder="1" applyFill="1" applyFont="1">
      <alignment horizontal="center" shrinkToFit="0" vertical="center" wrapText="1"/>
    </xf>
    <xf borderId="45" fillId="9" fontId="6" numFmtId="0" xfId="0" applyAlignment="1" applyBorder="1" applyFont="1">
      <alignment horizontal="center" shrinkToFit="0" vertical="center" wrapText="1"/>
    </xf>
    <xf borderId="4" fillId="9" fontId="6" numFmtId="0" xfId="0" applyAlignment="1" applyBorder="1" applyFont="1">
      <alignment horizontal="center" vertical="center"/>
    </xf>
    <xf borderId="9" fillId="9" fontId="6" numFmtId="0" xfId="0" applyAlignment="1" applyBorder="1" applyFont="1">
      <alignment horizontal="center" vertical="center"/>
    </xf>
    <xf borderId="10" fillId="9" fontId="6" numFmtId="0" xfId="0" applyAlignment="1" applyBorder="1" applyFont="1">
      <alignment horizontal="center" vertical="center"/>
    </xf>
    <xf borderId="17" fillId="9" fontId="6" numFmtId="0" xfId="0" applyAlignment="1" applyBorder="1" applyFont="1">
      <alignment horizontal="center" shrinkToFit="0" vertical="center" wrapText="1"/>
    </xf>
    <xf borderId="18" fillId="9" fontId="6" numFmtId="0" xfId="0" applyAlignment="1" applyBorder="1" applyFont="1">
      <alignment horizontal="center" shrinkToFit="0" vertical="center" wrapText="1"/>
    </xf>
    <xf borderId="19" fillId="9" fontId="10" numFmtId="164" xfId="0" applyAlignment="1" applyBorder="1" applyFont="1" applyNumberFormat="1">
      <alignment horizontal="center" shrinkToFit="0" vertical="center" wrapText="1"/>
    </xf>
    <xf borderId="22" fillId="9" fontId="10" numFmtId="164" xfId="0" applyAlignment="1" applyBorder="1" applyFont="1" applyNumberFormat="1">
      <alignment horizontal="center" vertical="center"/>
    </xf>
    <xf borderId="25" fillId="6" fontId="5" numFmtId="0" xfId="0" applyAlignment="1" applyBorder="1" applyFont="1">
      <alignment horizontal="center" vertical="center"/>
    </xf>
    <xf borderId="50" fillId="0" fontId="5" numFmtId="0" xfId="0" applyBorder="1" applyFont="1"/>
    <xf borderId="51" fillId="0" fontId="2" numFmtId="2" xfId="0" applyBorder="1" applyFont="1" applyNumberFormat="1"/>
    <xf borderId="25" fillId="3" fontId="5" numFmtId="3" xfId="0" applyBorder="1" applyFont="1" applyNumberFormat="1"/>
    <xf borderId="25" fillId="9" fontId="6" numFmtId="0" xfId="0" applyAlignment="1" applyBorder="1" applyFont="1">
      <alignment horizontal="left"/>
    </xf>
    <xf borderId="25" fillId="9" fontId="6" numFmtId="0" xfId="0" applyBorder="1" applyFont="1"/>
    <xf borderId="25" fillId="9" fontId="5" numFmtId="0" xfId="0" applyBorder="1" applyFont="1"/>
    <xf borderId="25" fillId="9" fontId="6" numFmtId="0" xfId="0" applyAlignment="1" applyBorder="1" applyFont="1">
      <alignment horizontal="right"/>
    </xf>
    <xf borderId="25" fillId="9" fontId="5" numFmtId="0" xfId="0" applyAlignment="1" applyBorder="1" applyFont="1">
      <alignment horizontal="center"/>
    </xf>
    <xf borderId="25" fillId="9" fontId="6" numFmtId="2" xfId="0" applyAlignment="1" applyBorder="1" applyFont="1" applyNumberFormat="1">
      <alignment shrinkToFit="0" wrapText="1"/>
    </xf>
    <xf borderId="1" fillId="10" fontId="6" numFmtId="0" xfId="0" applyAlignment="1" applyBorder="1" applyFill="1" applyFont="1">
      <alignment horizontal="center" shrinkToFit="0" vertical="center" wrapText="1"/>
    </xf>
    <xf borderId="45" fillId="10" fontId="6" numFmtId="0" xfId="0" applyAlignment="1" applyBorder="1" applyFont="1">
      <alignment horizontal="center" shrinkToFit="0" vertical="center" wrapText="1"/>
    </xf>
    <xf borderId="4" fillId="10" fontId="6" numFmtId="0" xfId="0" applyAlignment="1" applyBorder="1" applyFont="1">
      <alignment horizontal="center" vertical="center"/>
    </xf>
    <xf borderId="9" fillId="10" fontId="6" numFmtId="0" xfId="0" applyAlignment="1" applyBorder="1" applyFont="1">
      <alignment horizontal="center" vertical="center"/>
    </xf>
    <xf borderId="10" fillId="10" fontId="6" numFmtId="0" xfId="0" applyAlignment="1" applyBorder="1" applyFont="1">
      <alignment horizontal="center" vertical="center"/>
    </xf>
    <xf borderId="17" fillId="10" fontId="6" numFmtId="0" xfId="0" applyAlignment="1" applyBorder="1" applyFont="1">
      <alignment horizontal="center" shrinkToFit="0" vertical="center" wrapText="1"/>
    </xf>
    <xf borderId="18" fillId="10" fontId="6" numFmtId="0" xfId="0" applyAlignment="1" applyBorder="1" applyFont="1">
      <alignment horizontal="center" shrinkToFit="0" vertical="center" wrapText="1"/>
    </xf>
    <xf borderId="19" fillId="10" fontId="10" numFmtId="164" xfId="0" applyAlignment="1" applyBorder="1" applyFont="1" applyNumberFormat="1">
      <alignment horizontal="center" shrinkToFit="0" vertical="center" wrapText="1"/>
    </xf>
    <xf borderId="22" fillId="10" fontId="10" numFmtId="164" xfId="0" applyAlignment="1" applyBorder="1" applyFont="1" applyNumberFormat="1">
      <alignment horizontal="center" vertical="center"/>
    </xf>
    <xf borderId="52" fillId="0" fontId="5" numFmtId="0" xfId="0" applyBorder="1" applyFont="1"/>
    <xf borderId="25" fillId="3" fontId="2" numFmtId="0" xfId="0" applyBorder="1" applyFont="1"/>
    <xf borderId="25" fillId="3" fontId="2" numFmtId="2" xfId="0" applyBorder="1" applyFont="1" applyNumberFormat="1"/>
    <xf borderId="25" fillId="10" fontId="6" numFmtId="0" xfId="0" applyAlignment="1" applyBorder="1" applyFont="1">
      <alignment horizontal="left"/>
    </xf>
    <xf borderId="25" fillId="10" fontId="6" numFmtId="0" xfId="0" applyBorder="1" applyFont="1"/>
    <xf borderId="25" fillId="10" fontId="5" numFmtId="0" xfId="0" applyBorder="1" applyFont="1"/>
    <xf borderId="25" fillId="10" fontId="6" numFmtId="0" xfId="0" applyAlignment="1" applyBorder="1" applyFont="1">
      <alignment horizontal="right"/>
    </xf>
    <xf borderId="25" fillId="10" fontId="5" numFmtId="0" xfId="0" applyAlignment="1" applyBorder="1" applyFont="1">
      <alignment horizontal="center"/>
    </xf>
    <xf borderId="25" fillId="10" fontId="6" numFmtId="2" xfId="0" applyAlignment="1" applyBorder="1" applyFont="1" applyNumberFormat="1">
      <alignment shrinkToFit="0" wrapText="1"/>
    </xf>
    <xf borderId="1" fillId="11" fontId="6" numFmtId="0" xfId="0" applyAlignment="1" applyBorder="1" applyFill="1" applyFont="1">
      <alignment horizontal="center" shrinkToFit="0" vertical="center" wrapText="1"/>
    </xf>
    <xf borderId="45" fillId="11" fontId="6" numFmtId="0" xfId="0" applyAlignment="1" applyBorder="1" applyFont="1">
      <alignment horizontal="center" shrinkToFit="0" vertical="center" wrapText="1"/>
    </xf>
    <xf borderId="4" fillId="11" fontId="6" numFmtId="0" xfId="0" applyAlignment="1" applyBorder="1" applyFont="1">
      <alignment horizontal="center" vertical="center"/>
    </xf>
    <xf borderId="9" fillId="11" fontId="6" numFmtId="0" xfId="0" applyAlignment="1" applyBorder="1" applyFont="1">
      <alignment horizontal="center" vertical="center"/>
    </xf>
    <xf borderId="10" fillId="11" fontId="6" numFmtId="0" xfId="0" applyAlignment="1" applyBorder="1" applyFont="1">
      <alignment horizontal="center" vertical="center"/>
    </xf>
    <xf borderId="17" fillId="11" fontId="6" numFmtId="0" xfId="0" applyAlignment="1" applyBorder="1" applyFont="1">
      <alignment horizontal="center" shrinkToFit="0" vertical="center" wrapText="1"/>
    </xf>
    <xf borderId="18" fillId="11" fontId="6" numFmtId="0" xfId="0" applyAlignment="1" applyBorder="1" applyFont="1">
      <alignment horizontal="center" shrinkToFit="0" vertical="center" wrapText="1"/>
    </xf>
    <xf borderId="19" fillId="11" fontId="10" numFmtId="164" xfId="0" applyAlignment="1" applyBorder="1" applyFont="1" applyNumberFormat="1">
      <alignment horizontal="center" shrinkToFit="0" vertical="center" wrapText="1"/>
    </xf>
    <xf borderId="22" fillId="11" fontId="10" numFmtId="164" xfId="0" applyAlignment="1" applyBorder="1" applyFont="1" applyNumberFormat="1">
      <alignment horizontal="center" vertical="center"/>
    </xf>
    <xf borderId="25" fillId="0" fontId="5" numFmtId="0" xfId="0" applyAlignment="1" applyBorder="1" applyFont="1">
      <alignment horizontal="right"/>
    </xf>
    <xf borderId="30" fillId="0" fontId="5" numFmtId="0" xfId="0" applyAlignment="1" applyBorder="1" applyFont="1">
      <alignment horizontal="right"/>
    </xf>
    <xf borderId="53" fillId="0" fontId="5" numFmtId="0" xfId="0" applyAlignment="1" applyBorder="1" applyFont="1">
      <alignment horizontal="right"/>
    </xf>
    <xf borderId="32" fillId="0" fontId="5" numFmtId="0" xfId="0" applyAlignment="1" applyBorder="1" applyFont="1">
      <alignment horizontal="right"/>
    </xf>
    <xf borderId="25" fillId="3" fontId="5" numFmtId="0" xfId="0" applyAlignment="1" applyBorder="1" applyFont="1">
      <alignment horizontal="right" vertical="center"/>
    </xf>
    <xf borderId="29" fillId="3" fontId="5" numFmtId="0" xfId="0" applyAlignment="1" applyBorder="1" applyFont="1">
      <alignment horizontal="right"/>
    </xf>
    <xf borderId="54" fillId="3" fontId="5" numFmtId="0" xfId="0" applyAlignment="1" applyBorder="1" applyFont="1">
      <alignment horizontal="right"/>
    </xf>
    <xf borderId="25" fillId="0" fontId="5" numFmtId="2" xfId="0" applyAlignment="1" applyBorder="1" applyFont="1" applyNumberFormat="1">
      <alignment horizontal="right" vertical="center"/>
    </xf>
    <xf borderId="30" fillId="0" fontId="5" numFmtId="2" xfId="0" applyAlignment="1" applyBorder="1" applyFont="1" applyNumberFormat="1">
      <alignment horizontal="right" vertical="center"/>
    </xf>
    <xf borderId="55" fillId="0" fontId="5" numFmtId="2" xfId="0" applyAlignment="1" applyBorder="1" applyFont="1" applyNumberFormat="1">
      <alignment horizontal="right" vertical="center"/>
    </xf>
    <xf borderId="32" fillId="0" fontId="5" numFmtId="2" xfId="0" applyAlignment="1" applyBorder="1" applyFont="1" applyNumberFormat="1">
      <alignment horizontal="right" vertical="center"/>
    </xf>
    <xf borderId="25" fillId="3" fontId="5" numFmtId="0" xfId="0" applyAlignment="1" applyBorder="1" applyFont="1">
      <alignment horizontal="center" vertical="center"/>
    </xf>
    <xf borderId="25" fillId="3" fontId="5" numFmtId="2" xfId="0" applyAlignment="1" applyBorder="1" applyFont="1" applyNumberFormat="1">
      <alignment horizontal="right"/>
    </xf>
    <xf borderId="25" fillId="11" fontId="6" numFmtId="0" xfId="0" applyAlignment="1" applyBorder="1" applyFont="1">
      <alignment horizontal="left"/>
    </xf>
    <xf borderId="25" fillId="11" fontId="6" numFmtId="0" xfId="0" applyBorder="1" applyFont="1"/>
    <xf borderId="25" fillId="11" fontId="5" numFmtId="0" xfId="0" applyBorder="1" applyFont="1"/>
    <xf borderId="25" fillId="11" fontId="6" numFmtId="0" xfId="0" applyAlignment="1" applyBorder="1" applyFont="1">
      <alignment horizontal="right"/>
    </xf>
    <xf borderId="25" fillId="11" fontId="5" numFmtId="0" xfId="0" applyAlignment="1" applyBorder="1" applyFont="1">
      <alignment horizontal="center"/>
    </xf>
    <xf borderId="25" fillId="11" fontId="6" numFmtId="2" xfId="0" applyAlignment="1" applyBorder="1" applyFont="1" applyNumberFormat="1">
      <alignment shrinkToFit="0" wrapText="1"/>
    </xf>
    <xf borderId="1" fillId="12" fontId="6" numFmtId="0" xfId="0" applyAlignment="1" applyBorder="1" applyFill="1" applyFont="1">
      <alignment horizontal="center" shrinkToFit="0" vertical="center" wrapText="1"/>
    </xf>
    <xf borderId="39" fillId="12" fontId="6" numFmtId="0" xfId="0" applyAlignment="1" applyBorder="1" applyFont="1">
      <alignment horizontal="center" shrinkToFit="0" vertical="center" wrapText="1"/>
    </xf>
    <xf borderId="4" fillId="12" fontId="6" numFmtId="0" xfId="0" applyAlignment="1" applyBorder="1" applyFont="1">
      <alignment horizontal="center" vertical="center"/>
    </xf>
    <xf borderId="9" fillId="12" fontId="6" numFmtId="0" xfId="0" applyAlignment="1" applyBorder="1" applyFont="1">
      <alignment horizontal="center" vertical="center"/>
    </xf>
    <xf borderId="10" fillId="12" fontId="6" numFmtId="0" xfId="0" applyAlignment="1" applyBorder="1" applyFont="1">
      <alignment horizontal="center" vertical="center"/>
    </xf>
    <xf borderId="17" fillId="12" fontId="6" numFmtId="0" xfId="0" applyAlignment="1" applyBorder="1" applyFont="1">
      <alignment horizontal="center" shrinkToFit="0" vertical="center" wrapText="1"/>
    </xf>
    <xf borderId="18" fillId="12" fontId="6" numFmtId="0" xfId="0" applyAlignment="1" applyBorder="1" applyFont="1">
      <alignment horizontal="center" shrinkToFit="0" vertical="center" wrapText="1"/>
    </xf>
    <xf borderId="19" fillId="12" fontId="10" numFmtId="164" xfId="0" applyAlignment="1" applyBorder="1" applyFont="1" applyNumberFormat="1">
      <alignment horizontal="center" shrinkToFit="0" vertical="center" wrapText="1"/>
    </xf>
    <xf borderId="21" fillId="12" fontId="10" numFmtId="164" xfId="0" applyAlignment="1" applyBorder="1" applyFont="1" applyNumberFormat="1">
      <alignment horizontal="center" vertical="center"/>
    </xf>
    <xf borderId="22" fillId="12" fontId="10" numFmtId="164" xfId="0" applyAlignment="1" applyBorder="1" applyFont="1" applyNumberFormat="1">
      <alignment horizontal="center" vertical="center"/>
    </xf>
    <xf borderId="0" fillId="0" fontId="13" numFmtId="0" xfId="0" applyFont="1"/>
    <xf borderId="25" fillId="0" fontId="6" numFmtId="0" xfId="0" applyAlignment="1" applyBorder="1" applyFont="1">
      <alignment horizontal="center" vertical="center"/>
    </xf>
    <xf borderId="25" fillId="3" fontId="6" numFmtId="0" xfId="0" applyBorder="1" applyFont="1"/>
    <xf borderId="0" fillId="0" fontId="14" numFmtId="0" xfId="0" applyFont="1"/>
    <xf borderId="0" fillId="0" fontId="15" numFmtId="0" xfId="0" applyFont="1"/>
    <xf borderId="25" fillId="12" fontId="6" numFmtId="0" xfId="0" applyAlignment="1" applyBorder="1" applyFont="1">
      <alignment horizontal="left"/>
    </xf>
    <xf borderId="25" fillId="12" fontId="6" numFmtId="0" xfId="0" applyBorder="1" applyFont="1"/>
    <xf borderId="25" fillId="12" fontId="5" numFmtId="0" xfId="0" applyBorder="1" applyFont="1"/>
    <xf borderId="25" fillId="12" fontId="6" numFmtId="0" xfId="0" applyAlignment="1" applyBorder="1" applyFont="1">
      <alignment horizontal="right"/>
    </xf>
    <xf borderId="25" fillId="12" fontId="5" numFmtId="0" xfId="0" applyAlignment="1" applyBorder="1" applyFont="1">
      <alignment horizontal="center"/>
    </xf>
    <xf borderId="25" fillId="12" fontId="6" numFmtId="2" xfId="0" applyAlignment="1" applyBorder="1" applyFont="1" applyNumberFormat="1">
      <alignment shrinkToFit="0" wrapText="1"/>
    </xf>
    <xf borderId="17" fillId="0" fontId="9" numFmtId="0" xfId="0" applyAlignment="1" applyBorder="1" applyFont="1">
      <alignment horizontal="right"/>
    </xf>
    <xf borderId="56" fillId="3" fontId="5" numFmtId="0" xfId="0" applyBorder="1" applyFont="1"/>
    <xf borderId="57" fillId="5" fontId="6" numFmtId="0" xfId="0" applyAlignment="1" applyBorder="1" applyFont="1">
      <alignment horizontal="left"/>
    </xf>
    <xf borderId="57" fillId="5" fontId="6" numFmtId="0" xfId="0" applyBorder="1" applyFont="1"/>
    <xf borderId="57" fillId="5" fontId="5" numFmtId="0" xfId="0" applyBorder="1" applyFont="1"/>
    <xf borderId="57" fillId="5" fontId="6" numFmtId="0" xfId="0" applyAlignment="1" applyBorder="1" applyFont="1">
      <alignment horizontal="right"/>
    </xf>
    <xf borderId="57" fillId="5" fontId="5" numFmtId="0" xfId="0" applyAlignment="1" applyBorder="1" applyFont="1">
      <alignment horizontal="center"/>
    </xf>
    <xf borderId="57" fillId="5" fontId="6" numFmtId="2" xfId="0" applyAlignment="1" applyBorder="1" applyFont="1" applyNumberFormat="1">
      <alignment shrinkToFit="0" wrapText="1"/>
    </xf>
    <xf borderId="0" fillId="0" fontId="5" numFmtId="2" xfId="0" applyFont="1" applyNumberFormat="1"/>
    <xf borderId="58" fillId="3" fontId="5" numFmtId="0" xfId="0" applyBorder="1" applyFont="1"/>
    <xf borderId="30" fillId="0" fontId="6" numFmtId="2" xfId="0" applyBorder="1" applyFont="1" applyNumberFormat="1"/>
    <xf borderId="39" fillId="7" fontId="6" numFmtId="0" xfId="0" applyAlignment="1" applyBorder="1" applyFont="1">
      <alignment horizontal="center" shrinkToFit="0" vertical="center" wrapText="1"/>
    </xf>
    <xf borderId="21" fillId="7" fontId="10" numFmtId="164" xfId="0" applyAlignment="1" applyBorder="1" applyFont="1" applyNumberFormat="1">
      <alignment horizontal="center" vertical="center"/>
    </xf>
    <xf borderId="27" fillId="8" fontId="5" numFmtId="0" xfId="0" applyBorder="1" applyFont="1"/>
    <xf borderId="59" fillId="8" fontId="5" numFmtId="0" xfId="0" applyBorder="1" applyFont="1"/>
    <xf borderId="29" fillId="8" fontId="5" numFmtId="0" xfId="0" applyBorder="1" applyFont="1"/>
    <xf borderId="25" fillId="3" fontId="9" numFmtId="0" xfId="0" applyAlignment="1" applyBorder="1" applyFont="1">
      <alignment readingOrder="0"/>
    </xf>
    <xf borderId="25" fillId="3" fontId="5" numFmtId="0" xfId="0" applyAlignment="1" applyBorder="1" applyFont="1">
      <alignment readingOrder="0"/>
    </xf>
    <xf borderId="25" fillId="8" fontId="5" numFmtId="2" xfId="0" applyBorder="1" applyFont="1" applyNumberFormat="1"/>
    <xf borderId="38" fillId="0" fontId="9" numFmtId="0" xfId="0" applyBorder="1" applyFont="1"/>
    <xf borderId="38" fillId="0" fontId="16" numFmtId="0" xfId="0" applyBorder="1" applyFont="1"/>
    <xf borderId="25" fillId="3" fontId="5" numFmtId="2" xfId="0" applyAlignment="1" applyBorder="1" applyFont="1" applyNumberFormat="1">
      <alignment horizontal="right" readingOrder="0"/>
    </xf>
    <xf borderId="25" fillId="3" fontId="5" numFmtId="4" xfId="0" applyBorder="1" applyFont="1" applyNumberFormat="1"/>
    <xf borderId="25" fillId="3" fontId="5" numFmtId="2" xfId="0" applyAlignment="1" applyBorder="1" applyFont="1" applyNumberFormat="1">
      <alignment readingOrder="0"/>
    </xf>
    <xf borderId="57" fillId="7" fontId="6" numFmtId="0" xfId="0" applyAlignment="1" applyBorder="1" applyFont="1">
      <alignment horizontal="left"/>
    </xf>
    <xf borderId="57" fillId="7" fontId="6" numFmtId="0" xfId="0" applyBorder="1" applyFont="1"/>
    <xf borderId="57" fillId="7" fontId="5" numFmtId="0" xfId="0" applyBorder="1" applyFont="1"/>
    <xf borderId="57" fillId="7" fontId="6" numFmtId="0" xfId="0" applyAlignment="1" applyBorder="1" applyFont="1">
      <alignment horizontal="right"/>
    </xf>
    <xf borderId="57" fillId="7" fontId="5" numFmtId="0" xfId="0" applyAlignment="1" applyBorder="1" applyFont="1">
      <alignment horizontal="center"/>
    </xf>
    <xf borderId="57" fillId="7" fontId="6" numFmtId="2" xfId="0" applyAlignment="1" applyBorder="1" applyFont="1" applyNumberFormat="1">
      <alignment shrinkToFit="0" wrapText="1"/>
    </xf>
    <xf borderId="25" fillId="3" fontId="9" numFmtId="0" xfId="0" applyBorder="1" applyFont="1"/>
    <xf borderId="25" fillId="8" fontId="5" numFmtId="2" xfId="0" applyAlignment="1" applyBorder="1" applyFont="1" applyNumberFormat="1">
      <alignment readingOrder="0"/>
    </xf>
    <xf borderId="25" fillId="13" fontId="5" numFmtId="2" xfId="0" applyBorder="1" applyFill="1" applyFont="1" applyNumberFormat="1"/>
    <xf borderId="25" fillId="3" fontId="5" numFmtId="0" xfId="0" applyAlignment="1" applyBorder="1" applyFont="1">
      <alignment horizontal="right" readingOrder="0"/>
    </xf>
    <xf borderId="38" fillId="0" fontId="5" numFmtId="0" xfId="0" applyAlignment="1" applyBorder="1" applyFont="1">
      <alignment readingOrder="0"/>
    </xf>
    <xf borderId="25" fillId="3" fontId="5" numFmtId="3" xfId="0" applyAlignment="1" applyBorder="1" applyFont="1" applyNumberFormat="1">
      <alignment horizontal="right" readingOrder="0"/>
    </xf>
    <xf borderId="0" fillId="0" fontId="17" numFmtId="0" xfId="0" applyAlignment="1" applyFont="1">
      <alignment readingOrder="0"/>
    </xf>
    <xf borderId="39" fillId="9" fontId="6" numFmtId="0" xfId="0" applyAlignment="1" applyBorder="1" applyFont="1">
      <alignment horizontal="center" shrinkToFit="0" vertical="center" wrapText="1"/>
    </xf>
    <xf borderId="21" fillId="9" fontId="10" numFmtId="164" xfId="0" applyAlignment="1" applyBorder="1" applyFont="1" applyNumberFormat="1">
      <alignment horizontal="center" vertical="center"/>
    </xf>
    <xf borderId="25" fillId="0" fontId="5" numFmtId="0" xfId="0" applyAlignment="1" applyBorder="1" applyFont="1">
      <alignment readingOrder="0"/>
    </xf>
    <xf borderId="60" fillId="3" fontId="5" numFmtId="0" xfId="0" applyBorder="1" applyFont="1"/>
    <xf borderId="27" fillId="2" fontId="12" numFmtId="0" xfId="0" applyAlignment="1" applyBorder="1" applyFont="1">
      <alignment horizontal="center" vertical="center"/>
    </xf>
    <xf borderId="61" fillId="3" fontId="9" numFmtId="0" xfId="0" applyAlignment="1" applyBorder="1" applyFont="1">
      <alignment horizontal="right" readingOrder="0"/>
    </xf>
    <xf borderId="29" fillId="3" fontId="5" numFmtId="0" xfId="0" applyAlignment="1" applyBorder="1" applyFont="1">
      <alignment readingOrder="0"/>
    </xf>
    <xf borderId="57" fillId="3" fontId="5" numFmtId="0" xfId="0" applyBorder="1" applyFont="1"/>
    <xf borderId="61" fillId="3" fontId="5" numFmtId="0" xfId="0" applyBorder="1" applyFont="1"/>
    <xf borderId="57" fillId="9" fontId="6" numFmtId="0" xfId="0" applyAlignment="1" applyBorder="1" applyFont="1">
      <alignment horizontal="left"/>
    </xf>
    <xf borderId="57" fillId="9" fontId="6" numFmtId="0" xfId="0" applyBorder="1" applyFont="1"/>
    <xf borderId="57" fillId="9" fontId="5" numFmtId="0" xfId="0" applyBorder="1" applyFont="1"/>
    <xf borderId="57" fillId="9" fontId="6" numFmtId="0" xfId="0" applyAlignment="1" applyBorder="1" applyFont="1">
      <alignment horizontal="right"/>
    </xf>
    <xf borderId="57" fillId="9" fontId="5" numFmtId="0" xfId="0" applyAlignment="1" applyBorder="1" applyFont="1">
      <alignment horizontal="center"/>
    </xf>
    <xf borderId="57" fillId="9" fontId="6" numFmtId="2" xfId="0" applyAlignment="1" applyBorder="1" applyFont="1" applyNumberFormat="1">
      <alignment shrinkToFit="0" wrapText="1"/>
    </xf>
    <xf borderId="0" fillId="0" fontId="5" numFmtId="0" xfId="0" applyAlignment="1" applyFont="1">
      <alignment horizontal="right"/>
    </xf>
    <xf borderId="17" fillId="0" fontId="5" numFmtId="0" xfId="0" applyAlignment="1" applyBorder="1" applyFont="1">
      <alignment horizontal="right"/>
    </xf>
    <xf borderId="17" fillId="2" fontId="12" numFmtId="0" xfId="0" applyAlignment="1" applyBorder="1" applyFont="1">
      <alignment horizontal="center"/>
    </xf>
    <xf borderId="17" fillId="3" fontId="5" numFmtId="0" xfId="0" applyAlignment="1" applyBorder="1" applyFont="1">
      <alignment horizontal="right" vertical="bottom"/>
    </xf>
    <xf borderId="17" fillId="0" fontId="5" numFmtId="0" xfId="0" applyAlignment="1" applyBorder="1" applyFont="1">
      <alignment horizontal="center"/>
    </xf>
    <xf borderId="25" fillId="6" fontId="5" numFmtId="2" xfId="0" applyAlignment="1" applyBorder="1" applyFont="1" applyNumberFormat="1">
      <alignment horizontal="center" vertical="center"/>
    </xf>
    <xf borderId="0" fillId="2" fontId="12" numFmtId="0" xfId="0" applyAlignment="1" applyFont="1">
      <alignment horizontal="center"/>
    </xf>
    <xf borderId="0" fillId="3" fontId="5" numFmtId="0" xfId="0" applyAlignment="1" applyFont="1">
      <alignment horizontal="right" vertical="bottom"/>
    </xf>
    <xf borderId="17" fillId="3" fontId="5" numFmtId="3" xfId="0" applyAlignment="1" applyBorder="1" applyFont="1" applyNumberFormat="1">
      <alignment horizontal="right" vertical="bottom"/>
    </xf>
    <xf borderId="38" fillId="0" fontId="5" numFmtId="2" xfId="0" applyBorder="1" applyFont="1" applyNumberFormat="1"/>
    <xf borderId="17" fillId="3" fontId="2" numFmtId="0" xfId="0" applyAlignment="1" applyBorder="1" applyFont="1">
      <alignment horizontal="right" vertical="bottom"/>
    </xf>
    <xf borderId="17" fillId="3" fontId="5" numFmtId="4" xfId="0" applyAlignment="1" applyBorder="1" applyFont="1" applyNumberFormat="1">
      <alignment horizontal="right" vertical="bottom"/>
    </xf>
    <xf borderId="0" fillId="0" fontId="5" numFmtId="1" xfId="0" applyFont="1" applyNumberFormat="1"/>
    <xf borderId="26" fillId="3" fontId="5" numFmtId="0" xfId="0" applyBorder="1" applyFont="1"/>
    <xf borderId="26" fillId="3" fontId="5" numFmtId="0" xfId="0" applyAlignment="1" applyBorder="1" applyFont="1">
      <alignment readingOrder="0"/>
    </xf>
    <xf borderId="30" fillId="8" fontId="5" numFmtId="2" xfId="0" applyBorder="1" applyFont="1" applyNumberFormat="1"/>
    <xf borderId="62" fillId="8" fontId="5" numFmtId="2" xfId="0" applyBorder="1" applyFont="1" applyNumberFormat="1"/>
    <xf borderId="32" fillId="8" fontId="5" numFmtId="2" xfId="0" applyBorder="1" applyFont="1" applyNumberFormat="1"/>
    <xf borderId="30" fillId="3" fontId="5" numFmtId="0" xfId="0" applyBorder="1" applyFont="1"/>
    <xf borderId="62" fillId="3" fontId="5" numFmtId="0" xfId="0" applyBorder="1" applyFont="1"/>
    <xf borderId="32" fillId="3" fontId="5" numFmtId="0" xfId="0" applyBorder="1" applyFont="1"/>
    <xf borderId="0" fillId="0" fontId="9" numFmtId="0" xfId="0" applyFont="1"/>
    <xf borderId="61" fillId="3" fontId="9" numFmtId="0" xfId="0" applyAlignment="1" applyBorder="1" applyFont="1">
      <alignment horizontal="right"/>
    </xf>
    <xf borderId="61" fillId="2" fontId="18" numFmtId="0" xfId="0" applyAlignment="1" applyBorder="1" applyFont="1">
      <alignment horizontal="center"/>
    </xf>
    <xf borderId="63" fillId="3" fontId="9" numFmtId="0" xfId="0" applyAlignment="1" applyBorder="1" applyFont="1">
      <alignment horizontal="right"/>
    </xf>
    <xf borderId="62" fillId="3" fontId="9" numFmtId="0" xfId="0" applyAlignment="1" applyBorder="1" applyFont="1">
      <alignment horizontal="right"/>
    </xf>
    <xf borderId="62" fillId="3" fontId="9" numFmtId="0" xfId="0" applyAlignment="1" applyBorder="1" applyFont="1">
      <alignment horizontal="right" readingOrder="0"/>
    </xf>
    <xf borderId="64" fillId="3" fontId="9" numFmtId="0" xfId="0" applyAlignment="1" applyBorder="1" applyFont="1">
      <alignment horizontal="right"/>
    </xf>
    <xf borderId="65" fillId="3" fontId="5" numFmtId="0" xfId="0" applyBorder="1" applyFont="1"/>
    <xf borderId="32" fillId="6" fontId="5" numFmtId="0" xfId="0" applyBorder="1" applyFont="1"/>
    <xf borderId="62" fillId="3" fontId="5" numFmtId="0" xfId="0" applyAlignment="1" applyBorder="1" applyFont="1">
      <alignment readingOrder="0"/>
    </xf>
    <xf borderId="66" fillId="3" fontId="5" numFmtId="0" xfId="0" applyBorder="1" applyFont="1"/>
    <xf borderId="38" fillId="3" fontId="5" numFmtId="0" xfId="0" applyBorder="1" applyFont="1"/>
    <xf borderId="67" fillId="9" fontId="5" numFmtId="0" xfId="0" applyAlignment="1" applyBorder="1" applyFont="1">
      <alignment horizontal="center"/>
    </xf>
    <xf borderId="62" fillId="9" fontId="5" numFmtId="0" xfId="0" applyAlignment="1" applyBorder="1" applyFont="1">
      <alignment horizontal="center"/>
    </xf>
    <xf borderId="68" fillId="9" fontId="5" numFmtId="0" xfId="0" applyAlignment="1" applyBorder="1" applyFont="1">
      <alignment horizontal="center"/>
    </xf>
    <xf borderId="39" fillId="10" fontId="6" numFmtId="0" xfId="0" applyAlignment="1" applyBorder="1" applyFont="1">
      <alignment horizontal="center" shrinkToFit="0" vertical="center" wrapText="1"/>
    </xf>
    <xf borderId="21" fillId="10" fontId="10" numFmtId="164" xfId="0" applyAlignment="1" applyBorder="1" applyFont="1" applyNumberFormat="1">
      <alignment horizontal="center" vertical="center"/>
    </xf>
    <xf borderId="0" fillId="3" fontId="9" numFmtId="0" xfId="0" applyAlignment="1" applyFont="1">
      <alignment horizontal="right" shrinkToFit="0" vertical="bottom" wrapText="0"/>
    </xf>
    <xf borderId="25" fillId="14" fontId="5" numFmtId="2" xfId="0" applyBorder="1" applyFill="1" applyFont="1" applyNumberFormat="1"/>
    <xf borderId="25" fillId="14" fontId="5" numFmtId="2" xfId="0" applyBorder="1" applyFont="1" applyNumberFormat="1"/>
    <xf borderId="0" fillId="3" fontId="9" numFmtId="2" xfId="0" applyAlignment="1" applyFont="1" applyNumberFormat="1">
      <alignment horizontal="right" shrinkToFit="0" vertical="bottom" wrapText="0"/>
    </xf>
    <xf borderId="57" fillId="10" fontId="6" numFmtId="0" xfId="0" applyAlignment="1" applyBorder="1" applyFont="1">
      <alignment horizontal="left"/>
    </xf>
    <xf borderId="57" fillId="10" fontId="6" numFmtId="0" xfId="0" applyBorder="1" applyFont="1"/>
    <xf borderId="57" fillId="10" fontId="5" numFmtId="0" xfId="0" applyBorder="1" applyFont="1"/>
    <xf borderId="57" fillId="10" fontId="6" numFmtId="0" xfId="0" applyAlignment="1" applyBorder="1" applyFont="1">
      <alignment horizontal="right"/>
    </xf>
    <xf borderId="57" fillId="10" fontId="5" numFmtId="0" xfId="0" applyAlignment="1" applyBorder="1" applyFont="1">
      <alignment horizontal="center"/>
    </xf>
    <xf borderId="57" fillId="10" fontId="6" numFmtId="2" xfId="0" applyAlignment="1" applyBorder="1" applyFont="1" applyNumberFormat="1">
      <alignment shrinkToFit="0" wrapText="1"/>
    </xf>
    <xf borderId="27" fillId="8" fontId="5" numFmtId="2" xfId="0" applyBorder="1" applyFont="1" applyNumberFormat="1"/>
    <xf borderId="69" fillId="8" fontId="5" numFmtId="2" xfId="0" applyBorder="1" applyFont="1" applyNumberFormat="1"/>
    <xf borderId="29" fillId="8" fontId="5" numFmtId="2" xfId="0" applyBorder="1" applyFont="1" applyNumberFormat="1"/>
    <xf borderId="70" fillId="0" fontId="5" numFmtId="0" xfId="0" applyBorder="1" applyFont="1"/>
    <xf borderId="30" fillId="0" fontId="12" numFmtId="0" xfId="0" applyBorder="1" applyFont="1"/>
    <xf borderId="66" fillId="0" fontId="5" numFmtId="0" xfId="0" applyBorder="1" applyFont="1"/>
    <xf borderId="17" fillId="0" fontId="5" numFmtId="0" xfId="0" applyAlignment="1" applyBorder="1" applyFont="1">
      <alignment shrinkToFit="0" vertical="bottom" wrapText="0"/>
    </xf>
    <xf borderId="39" fillId="11" fontId="6" numFmtId="0" xfId="0" applyAlignment="1" applyBorder="1" applyFont="1">
      <alignment horizontal="center" shrinkToFit="0" vertical="center" wrapText="1"/>
    </xf>
    <xf borderId="21" fillId="11" fontId="10" numFmtId="164" xfId="0" applyAlignment="1" applyBorder="1" applyFont="1" applyNumberFormat="1">
      <alignment horizontal="center" vertical="center"/>
    </xf>
    <xf borderId="61" fillId="6" fontId="9" numFmtId="0" xfId="0" applyAlignment="1" applyBorder="1" applyFont="1">
      <alignment horizontal="center"/>
    </xf>
    <xf borderId="0" fillId="0" fontId="9" numFmtId="0" xfId="0" applyAlignment="1" applyFont="1">
      <alignment horizontal="right"/>
    </xf>
    <xf borderId="53" fillId="0" fontId="5" numFmtId="0" xfId="0" applyBorder="1" applyFont="1"/>
    <xf borderId="61" fillId="15" fontId="9" numFmtId="0" xfId="0" applyAlignment="1" applyBorder="1" applyFill="1" applyFont="1">
      <alignment horizontal="right"/>
    </xf>
    <xf borderId="61" fillId="3" fontId="9" numFmtId="2" xfId="0" applyAlignment="1" applyBorder="1" applyFont="1" applyNumberFormat="1">
      <alignment horizontal="right"/>
    </xf>
    <xf borderId="61" fillId="15" fontId="9" numFmtId="2" xfId="0" applyAlignment="1" applyBorder="1" applyFont="1" applyNumberFormat="1">
      <alignment horizontal="right"/>
    </xf>
    <xf borderId="57" fillId="11" fontId="6" numFmtId="0" xfId="0" applyAlignment="1" applyBorder="1" applyFont="1">
      <alignment horizontal="left"/>
    </xf>
    <xf borderId="57" fillId="11" fontId="6" numFmtId="0" xfId="0" applyBorder="1" applyFont="1"/>
    <xf borderId="57" fillId="11" fontId="5" numFmtId="0" xfId="0" applyBorder="1" applyFont="1"/>
    <xf borderId="57" fillId="11" fontId="6" numFmtId="0" xfId="0" applyAlignment="1" applyBorder="1" applyFont="1">
      <alignment horizontal="right"/>
    </xf>
    <xf borderId="57" fillId="11" fontId="5" numFmtId="0" xfId="0" applyAlignment="1" applyBorder="1" applyFont="1">
      <alignment horizontal="center"/>
    </xf>
    <xf borderId="57" fillId="11" fontId="6" numFmtId="2" xfId="0" applyAlignment="1" applyBorder="1" applyFont="1" applyNumberFormat="1">
      <alignment shrinkToFit="0" wrapText="1"/>
    </xf>
    <xf borderId="55" fillId="8" fontId="5" numFmtId="2" xfId="0" applyBorder="1" applyFont="1" applyNumberFormat="1"/>
    <xf borderId="71" fillId="3" fontId="5" numFmtId="0" xfId="0" applyBorder="1" applyFont="1"/>
    <xf borderId="72" fillId="3" fontId="5" numFmtId="0" xfId="0" applyBorder="1" applyFont="1"/>
    <xf borderId="57" fillId="12" fontId="6" numFmtId="0" xfId="0" applyAlignment="1" applyBorder="1" applyFont="1">
      <alignment horizontal="left"/>
    </xf>
    <xf borderId="57" fillId="12" fontId="6" numFmtId="0" xfId="0" applyBorder="1" applyFont="1"/>
    <xf borderId="57" fillId="12" fontId="5" numFmtId="0" xfId="0" applyBorder="1" applyFont="1"/>
    <xf borderId="57" fillId="12" fontId="6" numFmtId="0" xfId="0" applyAlignment="1" applyBorder="1" applyFont="1">
      <alignment horizontal="right"/>
    </xf>
    <xf borderId="57" fillId="12" fontId="5" numFmtId="0" xfId="0" applyAlignment="1" applyBorder="1" applyFont="1">
      <alignment horizontal="center"/>
    </xf>
    <xf borderId="57" fillId="12" fontId="6" numFmtId="2" xfId="0" applyAlignment="1" applyBorder="1" applyFont="1" applyNumberFormat="1">
      <alignment shrinkToFit="0" wrapText="1"/>
    </xf>
    <xf borderId="72" fillId="3" fontId="5" numFmtId="0" xfId="0" applyAlignment="1" applyBorder="1" applyFont="1">
      <alignment readingOrder="0"/>
    </xf>
    <xf borderId="25" fillId="3" fontId="16" numFmtId="0" xfId="0" applyAlignment="1" applyBorder="1" applyFont="1">
      <alignment readingOrder="0"/>
    </xf>
    <xf borderId="73" fillId="3" fontId="5" numFmtId="0" xfId="0" applyAlignment="1" applyBorder="1" applyFont="1">
      <alignment readingOrder="0"/>
    </xf>
    <xf borderId="61" fillId="13" fontId="9" numFmtId="0" xfId="0" applyAlignment="1" applyBorder="1" applyFont="1">
      <alignment horizontal="right"/>
    </xf>
    <xf borderId="25" fillId="3" fontId="5" numFmtId="165" xfId="0" applyBorder="1" applyFont="1" applyNumberFormat="1"/>
    <xf borderId="25" fillId="3" fontId="16" numFmtId="0" xfId="0" applyBorder="1" applyFont="1"/>
    <xf borderId="73" fillId="3" fontId="5" numFmtId="0" xfId="0" applyBorder="1" applyFont="1"/>
    <xf borderId="34" fillId="0" fontId="5" numFmtId="0" xfId="0" applyBorder="1" applyFont="1"/>
    <xf borderId="0" fillId="0" fontId="10" numFmtId="0" xfId="0" applyFont="1"/>
    <xf borderId="30" fillId="0" fontId="5" numFmtId="2" xfId="0" applyBorder="1" applyFont="1" applyNumberFormat="1"/>
    <xf borderId="51" fillId="0" fontId="5" numFmtId="2" xfId="0" applyBorder="1" applyFont="1" applyNumberFormat="1"/>
    <xf borderId="32" fillId="0" fontId="5" numFmtId="2" xfId="0" applyBorder="1" applyFont="1" applyNumberFormat="1"/>
    <xf borderId="69" fillId="0" fontId="5" numFmtId="2" xfId="0" applyBorder="1" applyFont="1" applyNumberFormat="1"/>
    <xf borderId="25" fillId="0" fontId="5" numFmtId="2" xfId="0" applyAlignment="1" applyBorder="1" applyFont="1" applyNumberFormat="1">
      <alignment horizontal="right"/>
    </xf>
    <xf borderId="30" fillId="0" fontId="5" numFmtId="2" xfId="0" applyAlignment="1" applyBorder="1" applyFont="1" applyNumberFormat="1">
      <alignment horizontal="right"/>
    </xf>
    <xf borderId="55" fillId="0" fontId="5" numFmtId="2" xfId="0" applyAlignment="1" applyBorder="1" applyFont="1" applyNumberFormat="1">
      <alignment horizontal="right"/>
    </xf>
    <xf borderId="32" fillId="0" fontId="5" numFmtId="2" xfId="0" applyAlignment="1" applyBorder="1" applyFont="1" applyNumberFormat="1">
      <alignment horizontal="right"/>
    </xf>
    <xf borderId="25" fillId="3" fontId="5" numFmtId="2" xfId="0" applyAlignment="1" applyBorder="1" applyFont="1" applyNumberFormat="1">
      <alignment horizontal="right" vertical="center"/>
    </xf>
  </cellXfs>
  <cellStyles count="1">
    <cellStyle xfId="0" name="Normal" builtinId="0"/>
  </cellStyles>
  <dxfs count="8">
    <dxf>
      <font/>
      <fill>
        <patternFill patternType="solid">
          <fgColor rgb="FFF7CAAC"/>
          <bgColor rgb="FFF7CAAC"/>
        </patternFill>
      </fill>
      <border/>
    </dxf>
    <dxf>
      <font/>
      <fill>
        <patternFill patternType="solid">
          <fgColor rgb="FFFFE598"/>
          <bgColor rgb="FFFFE598"/>
        </patternFill>
      </fill>
      <border/>
    </dxf>
    <dxf>
      <font/>
      <fill>
        <patternFill patternType="solid">
          <fgColor rgb="FFC5E0B3"/>
          <bgColor rgb="FFC5E0B3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2">
    <tableStyle count="3" pivot="0" name="Sub Koordinator Modif-style">
      <tableStyleElement dxfId="5" type="headerRow"/>
      <tableStyleElement dxfId="6" type="firstRowStripe"/>
      <tableStyleElement dxfId="7" type="secondRowStripe"/>
    </tableStyle>
    <tableStyle count="3" pivot="0" name="Copy of Sub Koordinator Modif-style">
      <tableStyleElement dxfId="5" type="headerRow"/>
      <tableStyleElement dxfId="6" type="firstRowStripe"/>
      <tableStyleElement dxfId="7" type="secondRowStripe"/>
    </tableStyle>
  </tableStyle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<Relationships xmlns="http://schemas.openxmlformats.org/package/2006/relationships"><Relationship Id="rId1" Type="http://customschemas.google.com/relationships/workbookmetadata" Target="commentsmeta1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-200025</xdr:colOff>
      <xdr:row>2</xdr:row>
      <xdr:rowOff>-200025</xdr:rowOff>
    </xdr:from>
    <xdr:ext cx="11915775" cy="2924175"/>
    <xdr:sp>
      <xdr:nvSpPr>
        <xdr:cNvPr id="3" name="Shape 3"/>
        <xdr:cNvSpPr/>
      </xdr:nvSpPr>
      <xdr:spPr>
        <a:xfrm>
          <a:off x="0" y="2346488"/>
          <a:ext cx="10692000" cy="2867025"/>
        </a:xfrm>
        <a:prstGeom prst="rect">
          <a:avLst/>
        </a:prstGeom>
        <a:solidFill>
          <a:schemeClr val="lt1"/>
        </a:solidFill>
        <a:ln cap="flat" cmpd="sng" w="57150">
          <a:solidFill>
            <a:srgbClr val="8DA9DB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dk1"/>
            </a:buClr>
            <a:buSzPts val="1600"/>
            <a:buFont typeface="Calibri"/>
            <a:buNone/>
          </a:pPr>
          <a:r>
            <a:rPr b="1" lang="en-US" sz="16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PETUNJUK UMUM PENGISIAN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SzPts val="1600"/>
            <a:buFont typeface="Arial"/>
            <a:buNone/>
          </a:pPr>
          <a:r>
            <a:t/>
          </a:r>
          <a:endParaRPr b="1" sz="1600">
            <a:solidFill>
              <a:schemeClr val="dk1"/>
            </a:solidFill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1400"/>
            <a:buFont typeface="Calibri"/>
            <a:buNone/>
          </a:pPr>
          <a:r>
            <a:rPr b="0"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1. </a:t>
          </a:r>
          <a:r>
            <a:rPr b="1"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Sheet BPS Prov 2021 </a:t>
          </a:r>
          <a:r>
            <a:rPr b="0"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terbagi atas beberapa tabel, mulai dari tabel Kepala BPS Provinsi hingga Tabel Koordinator Fungsi.</a:t>
          </a:r>
          <a:endParaRPr b="0" sz="1400">
            <a:solidFill>
              <a:schemeClr val="dk1"/>
            </a:solidFill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1400"/>
            <a:buFont typeface="Calibri"/>
            <a:buNone/>
          </a:pPr>
          <a:r>
            <a:rPr b="0"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2. Isi seluruh kolom yang berwarna             pada </a:t>
          </a:r>
          <a:r>
            <a:rPr b="1"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seluruh indikator </a:t>
          </a:r>
          <a:r>
            <a:rPr b="0"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pada </a:t>
          </a:r>
          <a:r>
            <a:rPr b="1"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Sheet BPS Prov 2021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1400"/>
            <a:buFont typeface="Calibri"/>
            <a:buNone/>
          </a:pPr>
          <a:r>
            <a:rPr b="0"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3. Khusus indikator "</a:t>
          </a:r>
          <a:r>
            <a:rPr b="1"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Jumlah Pemasukan Dokumen</a:t>
          </a:r>
          <a:r>
            <a:rPr b="0"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", Wajib mengisi </a:t>
          </a:r>
          <a:r>
            <a:rPr b="1"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Target Alokasi Sampel </a:t>
          </a:r>
          <a:r>
            <a:rPr b="0"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pada </a:t>
          </a:r>
          <a:r>
            <a:rPr b="1"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Kolom I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1400"/>
            <a:buFont typeface="Calibri"/>
            <a:buNone/>
          </a:pPr>
          <a:r>
            <a:rPr b="0"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3. Untuk setiap kolom isian, pengisian bersifat </a:t>
          </a:r>
          <a:r>
            <a:rPr b="1"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KUMULATIF </a:t>
          </a:r>
          <a:r>
            <a:rPr b="0"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dari Triwulan sebelumnya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1400"/>
            <a:buFont typeface="Calibri"/>
            <a:buNone/>
          </a:pPr>
          <a:r>
            <a:rPr b="0"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6. Untuk Pengisian Kolom berwarna             , </a:t>
          </a:r>
          <a:r>
            <a:rPr b="1"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WAJIB MENYESUAIKAN DENGAN SATUAN</a:t>
          </a:r>
          <a:r>
            <a:rPr b="0"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pada </a:t>
          </a:r>
          <a:r>
            <a:rPr b="1"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KOLOM J</a:t>
          </a:r>
          <a:endParaRPr b="0" sz="1400">
            <a:solidFill>
              <a:schemeClr val="dk1"/>
            </a:solidFill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1400"/>
            <a:buFont typeface="Calibri"/>
            <a:buNone/>
          </a:pPr>
          <a:r>
            <a:rPr b="0"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7. Pada kolom yang diberi bingkai berwarna, merupakan kolom yang angkanya </a:t>
          </a:r>
          <a:r>
            <a:rPr b="1"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harus sesuai dengan perjanjian kinerja.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1400"/>
            <a:buFont typeface="Calibri"/>
            <a:buNone/>
          </a:pPr>
          <a:r>
            <a:rPr b="0"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8. Jika terdapat indikator yang tidak memiliki target, seluruh kolom berwarna             </a:t>
          </a:r>
          <a:r>
            <a:rPr b="1"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WAJIB DIISI DENGAN ANGKA 0 (NOL), TIDAK BOLEH BLANK (KOSONG).</a:t>
          </a:r>
          <a:endParaRPr b="1" sz="14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1400"/>
            <a:buFont typeface="Calibri"/>
            <a:buNone/>
          </a:pPr>
          <a:r>
            <a:rPr b="0"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9. Untuk </a:t>
          </a:r>
          <a:r>
            <a:rPr b="1"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Sheet Sub Koordinator</a:t>
          </a:r>
          <a:r>
            <a:rPr b="0"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Silakan menentukan sendiri indikator kinerjanya berdasarkan kesepakatan dengan koordinator fungsi, dengan tetap  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1400"/>
            <a:buFont typeface="Calibri"/>
            <a:buNone/>
          </a:pPr>
          <a:r>
            <a:rPr b="0"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   mempertimbangkan cascading kinerja.</a:t>
          </a:r>
          <a:endParaRPr sz="1400"/>
        </a:p>
      </xdr:txBody>
    </xdr:sp>
    <xdr:clientData fLocksWithSheet="0"/>
  </xdr:oneCellAnchor>
  <xdr:oneCellAnchor>
    <xdr:from>
      <xdr:col>5</xdr:col>
      <xdr:colOff>447675</xdr:colOff>
      <xdr:row>5</xdr:row>
      <xdr:rowOff>66675</xdr:rowOff>
    </xdr:from>
    <xdr:ext cx="428625" cy="238125"/>
    <xdr:sp>
      <xdr:nvSpPr>
        <xdr:cNvPr id="4" name="Shape 4"/>
        <xdr:cNvSpPr/>
      </xdr:nvSpPr>
      <xdr:spPr>
        <a:xfrm>
          <a:off x="5136450" y="3665700"/>
          <a:ext cx="419100" cy="228600"/>
        </a:xfrm>
        <a:prstGeom prst="rect">
          <a:avLst/>
        </a:prstGeom>
        <a:solidFill>
          <a:srgbClr val="FFF2CC"/>
        </a:solidFill>
        <a:ln cap="flat" cmpd="sng" w="12700">
          <a:solidFill>
            <a:srgbClr val="42719B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5</xdr:col>
      <xdr:colOff>523875</xdr:colOff>
      <xdr:row>8</xdr:row>
      <xdr:rowOff>123825</xdr:rowOff>
    </xdr:from>
    <xdr:ext cx="428625" cy="238125"/>
    <xdr:sp>
      <xdr:nvSpPr>
        <xdr:cNvPr id="4" name="Shape 4"/>
        <xdr:cNvSpPr/>
      </xdr:nvSpPr>
      <xdr:spPr>
        <a:xfrm>
          <a:off x="5136450" y="3665700"/>
          <a:ext cx="419100" cy="228600"/>
        </a:xfrm>
        <a:prstGeom prst="rect">
          <a:avLst/>
        </a:prstGeom>
        <a:solidFill>
          <a:srgbClr val="FFF2CC"/>
        </a:solidFill>
        <a:ln cap="flat" cmpd="sng" w="12700">
          <a:solidFill>
            <a:srgbClr val="42719B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11</xdr:col>
      <xdr:colOff>304800</xdr:colOff>
      <xdr:row>11</xdr:row>
      <xdr:rowOff>0</xdr:rowOff>
    </xdr:from>
    <xdr:ext cx="428625" cy="238125"/>
    <xdr:sp>
      <xdr:nvSpPr>
        <xdr:cNvPr id="4" name="Shape 4"/>
        <xdr:cNvSpPr/>
      </xdr:nvSpPr>
      <xdr:spPr>
        <a:xfrm>
          <a:off x="5136450" y="3665700"/>
          <a:ext cx="419100" cy="228600"/>
        </a:xfrm>
        <a:prstGeom prst="rect">
          <a:avLst/>
        </a:prstGeom>
        <a:solidFill>
          <a:srgbClr val="FFF2CC"/>
        </a:solidFill>
        <a:ln cap="flat" cmpd="sng" w="12700">
          <a:solidFill>
            <a:srgbClr val="42719B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U269:U280" displayName="Table_1" id="1">
  <tableColumns count="1">
    <tableColumn name="Column1" id="1"/>
  </tableColumns>
  <tableStyleInfo name="Sub Koordinator Modif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headerRowCount="0" ref="U269:U280" displayName="Table_2" id="2">
  <tableColumns count="1">
    <tableColumn name="Column1" id="1"/>
  </tableColumns>
  <tableStyleInfo name="Copy of Sub Koordinator Modif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<Relationship Id="rId5" Type="http://schemas.openxmlformats.org/officeDocument/2006/relationships/table" Target="../tables/table1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3.vml"/><Relationship Id="rId5" Type="http://schemas.openxmlformats.org/officeDocument/2006/relationships/table" Target="../tables/table2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0.0" ySplit="23.0" topLeftCell="K24" activePane="bottomRight" state="frozen"/>
      <selection activeCell="K1" sqref="K1" pane="topRight"/>
      <selection activeCell="A24" sqref="A24" pane="bottomLeft"/>
      <selection activeCell="K24" sqref="K24" pane="bottomRight"/>
    </sheetView>
  </sheetViews>
  <sheetFormatPr customHeight="1" defaultColWidth="12.63" defaultRowHeight="15.0"/>
  <cols>
    <col customWidth="1" min="1" max="1" width="1.0"/>
    <col customWidth="1" min="2" max="2" width="3.63"/>
    <col customWidth="1" min="3" max="5" width="5.0"/>
    <col customWidth="1" min="6" max="6" width="1.75"/>
    <col customWidth="1" min="7" max="7" width="11.0"/>
    <col customWidth="1" min="8" max="8" width="53.38"/>
    <col customWidth="1" min="9" max="9" width="5.63"/>
    <col customWidth="1" min="10" max="10" width="6.5"/>
    <col customWidth="1" min="11" max="14" width="5.63"/>
    <col customWidth="1" min="15" max="17" width="5.88"/>
    <col customWidth="1" min="18" max="18" width="6.38"/>
    <col customWidth="1" min="19" max="21" width="6.5"/>
    <col customWidth="1" min="22" max="25" width="6.63"/>
    <col customWidth="1" min="26" max="27" width="7.63"/>
  </cols>
  <sheetData>
    <row r="1" ht="11.2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3"/>
    </row>
    <row r="2" ht="27.0" hidden="1" customHeight="1">
      <c r="A2" s="1"/>
      <c r="B2" s="4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1"/>
    </row>
    <row r="3" ht="14.25" hidden="1" customHeight="1">
      <c r="A3" s="1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3"/>
    </row>
    <row r="4" ht="14.25" hidden="1" customHeight="1">
      <c r="A4" s="1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3"/>
    </row>
    <row r="5" ht="14.25" hidden="1" customHeight="1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3"/>
    </row>
    <row r="6" ht="14.25" hidden="1" customHeight="1">
      <c r="A6" s="1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3"/>
    </row>
    <row r="7" ht="14.25" hidden="1" customHeight="1">
      <c r="A7" s="1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3"/>
    </row>
    <row r="8" ht="14.25" hidden="1" customHeight="1">
      <c r="A8" s="1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3"/>
    </row>
    <row r="9" ht="14.25" hidden="1" customHeight="1">
      <c r="A9" s="1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3"/>
    </row>
    <row r="10" ht="14.25" hidden="1" customHeight="1">
      <c r="A10" s="1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3"/>
    </row>
    <row r="11" ht="14.25" hidden="1" customHeight="1">
      <c r="A11" s="1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3"/>
    </row>
    <row r="12" ht="14.25" hidden="1" customHeight="1">
      <c r="A12" s="1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3"/>
    </row>
    <row r="13" ht="14.25" hidden="1" customHeight="1">
      <c r="A13" s="1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3"/>
    </row>
    <row r="14" ht="14.25" hidden="1" customHeight="1">
      <c r="A14" s="1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3"/>
    </row>
    <row r="15" ht="14.25" hidden="1" customHeight="1">
      <c r="A15" s="1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3"/>
    </row>
    <row r="16" ht="14.25" hidden="1" customHeight="1">
      <c r="A16" s="1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3"/>
    </row>
    <row r="17" ht="14.25" hidden="1" customHeight="1">
      <c r="A17" s="1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3"/>
    </row>
    <row r="18" ht="14.25" hidden="1" customHeight="1">
      <c r="A18" s="1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3"/>
    </row>
    <row r="19" ht="18.75" customHeight="1">
      <c r="A19" s="1"/>
      <c r="B19" s="4" t="s">
        <v>1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6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2"/>
      <c r="AA19" s="3"/>
    </row>
    <row r="20" ht="14.25" customHeight="1">
      <c r="A20" s="1"/>
      <c r="B20" s="7" t="s">
        <v>2</v>
      </c>
      <c r="C20" s="8"/>
      <c r="D20" s="8"/>
      <c r="E20" s="8"/>
      <c r="F20" s="8"/>
      <c r="G20" s="8"/>
      <c r="H20" s="8"/>
      <c r="I20" s="9"/>
      <c r="J20" s="10" t="s">
        <v>3</v>
      </c>
      <c r="K20" s="11"/>
      <c r="L20" s="11"/>
      <c r="M20" s="11"/>
      <c r="N20" s="11"/>
      <c r="O20" s="11"/>
      <c r="P20" s="11"/>
      <c r="Q20" s="11"/>
      <c r="R20" s="12"/>
      <c r="S20" s="10" t="s">
        <v>4</v>
      </c>
      <c r="T20" s="11"/>
      <c r="U20" s="11"/>
      <c r="V20" s="11"/>
      <c r="W20" s="11"/>
      <c r="X20" s="11"/>
      <c r="Y20" s="12"/>
      <c r="Z20" s="2"/>
      <c r="AA20" s="3"/>
    </row>
    <row r="21" ht="15.0" customHeight="1">
      <c r="A21" s="1"/>
      <c r="B21" s="13"/>
      <c r="I21" s="14"/>
      <c r="J21" s="15" t="s">
        <v>5</v>
      </c>
      <c r="K21" s="16" t="s">
        <v>6</v>
      </c>
      <c r="L21" s="17"/>
      <c r="M21" s="17"/>
      <c r="N21" s="18"/>
      <c r="O21" s="16" t="s">
        <v>7</v>
      </c>
      <c r="P21" s="17"/>
      <c r="Q21" s="17"/>
      <c r="R21" s="18"/>
      <c r="S21" s="16" t="s">
        <v>8</v>
      </c>
      <c r="T21" s="17"/>
      <c r="U21" s="18"/>
      <c r="V21" s="16" t="s">
        <v>9</v>
      </c>
      <c r="W21" s="17"/>
      <c r="X21" s="17"/>
      <c r="Y21" s="18"/>
      <c r="Z21" s="2"/>
      <c r="AA21" s="3"/>
    </row>
    <row r="22" ht="14.25" customHeight="1">
      <c r="A22" s="1"/>
      <c r="B22" s="19"/>
      <c r="C22" s="20"/>
      <c r="D22" s="20"/>
      <c r="E22" s="20"/>
      <c r="F22" s="20"/>
      <c r="G22" s="20"/>
      <c r="H22" s="20"/>
      <c r="I22" s="21"/>
      <c r="J22" s="22"/>
      <c r="K22" s="23" t="s">
        <v>10</v>
      </c>
      <c r="L22" s="23" t="s">
        <v>11</v>
      </c>
      <c r="M22" s="23" t="s">
        <v>12</v>
      </c>
      <c r="N22" s="23" t="s">
        <v>13</v>
      </c>
      <c r="O22" s="23" t="s">
        <v>10</v>
      </c>
      <c r="P22" s="23" t="s">
        <v>11</v>
      </c>
      <c r="Q22" s="23" t="s">
        <v>12</v>
      </c>
      <c r="R22" s="23" t="s">
        <v>13</v>
      </c>
      <c r="S22" s="23" t="s">
        <v>10</v>
      </c>
      <c r="T22" s="23" t="s">
        <v>11</v>
      </c>
      <c r="U22" s="23" t="s">
        <v>12</v>
      </c>
      <c r="V22" s="23" t="s">
        <v>10</v>
      </c>
      <c r="W22" s="23" t="s">
        <v>11</v>
      </c>
      <c r="X22" s="23" t="s">
        <v>12</v>
      </c>
      <c r="Y22" s="24" t="s">
        <v>13</v>
      </c>
      <c r="Z22" s="25"/>
      <c r="AA22" s="3"/>
    </row>
    <row r="23" ht="14.25" customHeight="1">
      <c r="A23" s="1"/>
      <c r="B23" s="26">
        <v>-1.0</v>
      </c>
      <c r="C23" s="27"/>
      <c r="D23" s="27"/>
      <c r="E23" s="27"/>
      <c r="F23" s="27"/>
      <c r="G23" s="27"/>
      <c r="H23" s="27"/>
      <c r="I23" s="28"/>
      <c r="J23" s="29" t="s">
        <v>14</v>
      </c>
      <c r="K23" s="30" t="s">
        <v>15</v>
      </c>
      <c r="L23" s="30" t="s">
        <v>16</v>
      </c>
      <c r="M23" s="30" t="s">
        <v>17</v>
      </c>
      <c r="N23" s="30" t="s">
        <v>18</v>
      </c>
      <c r="O23" s="30" t="s">
        <v>19</v>
      </c>
      <c r="P23" s="30" t="s">
        <v>20</v>
      </c>
      <c r="Q23" s="30" t="s">
        <v>21</v>
      </c>
      <c r="R23" s="30" t="s">
        <v>22</v>
      </c>
      <c r="S23" s="30" t="s">
        <v>23</v>
      </c>
      <c r="T23" s="30" t="s">
        <v>24</v>
      </c>
      <c r="U23" s="30" t="s">
        <v>25</v>
      </c>
      <c r="V23" s="30" t="s">
        <v>26</v>
      </c>
      <c r="W23" s="30" t="s">
        <v>27</v>
      </c>
      <c r="X23" s="30" t="s">
        <v>28</v>
      </c>
      <c r="Y23" s="31" t="s">
        <v>29</v>
      </c>
      <c r="Z23" s="25"/>
      <c r="AA23" s="3"/>
    </row>
    <row r="24" ht="14.25" customHeight="1">
      <c r="A24" s="1"/>
      <c r="B24" s="32"/>
      <c r="C24" s="33"/>
      <c r="D24" s="33"/>
      <c r="E24" s="33"/>
      <c r="F24" s="34"/>
      <c r="G24" s="35"/>
      <c r="H24" s="35"/>
      <c r="I24" s="35"/>
      <c r="J24" s="35"/>
      <c r="K24" s="35"/>
      <c r="L24" s="35"/>
      <c r="M24" s="35"/>
      <c r="N24" s="36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2"/>
      <c r="AA24" s="3"/>
    </row>
    <row r="25" ht="14.25" customHeight="1">
      <c r="A25" s="1"/>
      <c r="B25" s="37" t="s">
        <v>30</v>
      </c>
      <c r="C25" s="38" t="s">
        <v>31</v>
      </c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2"/>
      <c r="AA25" s="3"/>
    </row>
    <row r="26" ht="14.25" customHeight="1">
      <c r="A26" s="1"/>
      <c r="B26" s="37"/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2"/>
      <c r="AA26" s="3"/>
    </row>
    <row r="27" ht="14.25" customHeight="1">
      <c r="A27" s="1"/>
      <c r="B27" s="37" t="s">
        <v>32</v>
      </c>
      <c r="C27" s="38" t="s">
        <v>33</v>
      </c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40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2"/>
      <c r="AA27" s="3"/>
    </row>
    <row r="28" ht="14.25" customHeight="1">
      <c r="A28" s="1"/>
      <c r="B28" s="37"/>
      <c r="C28" s="39" t="s">
        <v>34</v>
      </c>
      <c r="D28" s="39"/>
      <c r="E28" s="39"/>
      <c r="F28" s="41"/>
      <c r="G28" s="39"/>
      <c r="H28" s="39"/>
      <c r="I28" s="39"/>
      <c r="J28" s="39" t="s">
        <v>35</v>
      </c>
      <c r="K28" s="42">
        <v>0.0</v>
      </c>
      <c r="L28" s="42">
        <v>0.0</v>
      </c>
      <c r="M28" s="43">
        <v>0.0</v>
      </c>
      <c r="N28" s="44">
        <v>25.0</v>
      </c>
      <c r="O28" s="45">
        <v>0.0</v>
      </c>
      <c r="P28" s="42">
        <v>0.0</v>
      </c>
      <c r="Q28" s="42">
        <v>0.0</v>
      </c>
      <c r="R28" s="42">
        <v>42.53</v>
      </c>
      <c r="S28" s="46">
        <f t="shared" ref="S28:U28" si="1">IF(K28=0,0,IF((O28/K28*100)&gt;120,120,O28/K28*100))</f>
        <v>0</v>
      </c>
      <c r="T28" s="46">
        <f t="shared" si="1"/>
        <v>0</v>
      </c>
      <c r="U28" s="46">
        <f t="shared" si="1"/>
        <v>0</v>
      </c>
      <c r="V28" s="46">
        <f t="shared" ref="V28:Y28" si="2">IF($N28=0,0,IF((O28/$N28*100)&gt;120,120,O28/$N28*100))</f>
        <v>0</v>
      </c>
      <c r="W28" s="46">
        <f t="shared" si="2"/>
        <v>0</v>
      </c>
      <c r="X28" s="46">
        <f t="shared" si="2"/>
        <v>0</v>
      </c>
      <c r="Y28" s="46">
        <f t="shared" si="2"/>
        <v>120</v>
      </c>
      <c r="Z28" s="2"/>
      <c r="AA28" s="1" t="s">
        <v>36</v>
      </c>
    </row>
    <row r="29" ht="14.25" customHeight="1">
      <c r="A29" s="1"/>
      <c r="B29" s="37"/>
      <c r="C29" s="39" t="s">
        <v>37</v>
      </c>
      <c r="D29" s="39"/>
      <c r="E29" s="39"/>
      <c r="F29" s="41"/>
      <c r="G29" s="39"/>
      <c r="H29" s="39"/>
      <c r="I29" s="39"/>
      <c r="J29" s="39" t="s">
        <v>35</v>
      </c>
      <c r="K29" s="47">
        <f t="shared" ref="K29:R29" si="3">IFERROR(SUM(K160,K137,K114,K91)/SUM($N$155,$N$132,$N$109,$N$85)*100,0)</f>
        <v>5.660377358</v>
      </c>
      <c r="L29" s="47">
        <f t="shared" si="3"/>
        <v>24.52830189</v>
      </c>
      <c r="M29" s="48">
        <f t="shared" si="3"/>
        <v>37.73584906</v>
      </c>
      <c r="N29" s="49">
        <f t="shared" si="3"/>
        <v>56.60377358</v>
      </c>
      <c r="O29" s="50">
        <f t="shared" si="3"/>
        <v>5.660377358</v>
      </c>
      <c r="P29" s="47">
        <f t="shared" si="3"/>
        <v>26.41509434</v>
      </c>
      <c r="Q29" s="47">
        <f t="shared" si="3"/>
        <v>37.73584906</v>
      </c>
      <c r="R29" s="47">
        <f t="shared" si="3"/>
        <v>16.98113208</v>
      </c>
      <c r="S29" s="46">
        <f t="shared" ref="S29:U29" si="4">IF(K29=0,0,IF((O29/K29*100)&gt;120,120,O29/K29*100))</f>
        <v>100</v>
      </c>
      <c r="T29" s="46">
        <f t="shared" si="4"/>
        <v>107.6923077</v>
      </c>
      <c r="U29" s="46">
        <f t="shared" si="4"/>
        <v>100</v>
      </c>
      <c r="V29" s="46">
        <f t="shared" ref="V29:Y29" si="5">IF($N29=0,0,IF((O29/$N29*100)&gt;120,120,O29/$N29*100))</f>
        <v>10</v>
      </c>
      <c r="W29" s="46">
        <f t="shared" si="5"/>
        <v>46.66666667</v>
      </c>
      <c r="X29" s="46">
        <f t="shared" si="5"/>
        <v>66.66666667</v>
      </c>
      <c r="Y29" s="46">
        <f t="shared" si="5"/>
        <v>30</v>
      </c>
      <c r="Z29" s="2"/>
      <c r="AA29" s="1" t="s">
        <v>38</v>
      </c>
    </row>
    <row r="30" ht="14.25" customHeight="1">
      <c r="A30" s="1"/>
      <c r="B30" s="51"/>
      <c r="C30" s="52"/>
      <c r="D30" s="53"/>
      <c r="E30" s="53"/>
      <c r="F30" s="53"/>
      <c r="G30" s="54" t="s">
        <v>39</v>
      </c>
      <c r="H30" s="53"/>
      <c r="I30" s="53"/>
      <c r="J30" s="53"/>
      <c r="K30" s="55"/>
      <c r="L30" s="55"/>
      <c r="M30" s="56"/>
      <c r="N30" s="57"/>
      <c r="O30" s="58"/>
      <c r="P30" s="55"/>
      <c r="Q30" s="55"/>
      <c r="R30" s="55"/>
      <c r="S30" s="59">
        <f t="shared" ref="S30:U30" si="6">IF(SUM(K28:K29)&gt;0,SUM(S28:S29)/COUNTIF(K28:K29,"&gt;0"),0)</f>
        <v>100</v>
      </c>
      <c r="T30" s="59">
        <f t="shared" si="6"/>
        <v>107.6923077</v>
      </c>
      <c r="U30" s="59">
        <f t="shared" si="6"/>
        <v>100</v>
      </c>
      <c r="V30" s="59">
        <f t="shared" ref="V30:Y30" si="7">IF(SUM($N28:$N29)&gt;0,SUM(V28:V29)/COUNTIF($N28:$N29,"&gt;0"),0)</f>
        <v>5</v>
      </c>
      <c r="W30" s="59">
        <f t="shared" si="7"/>
        <v>23.33333333</v>
      </c>
      <c r="X30" s="59">
        <f t="shared" si="7"/>
        <v>33.33333333</v>
      </c>
      <c r="Y30" s="59">
        <f t="shared" si="7"/>
        <v>75</v>
      </c>
      <c r="Z30" s="2"/>
      <c r="AA30" s="3"/>
    </row>
    <row r="31" ht="14.25" customHeight="1">
      <c r="A31" s="1"/>
      <c r="B31" s="37"/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60"/>
      <c r="N31" s="61"/>
      <c r="O31" s="62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2"/>
      <c r="AA31" s="3"/>
    </row>
    <row r="32" ht="14.25" customHeight="1">
      <c r="A32" s="1"/>
      <c r="B32" s="37" t="s">
        <v>40</v>
      </c>
      <c r="C32" s="38" t="s">
        <v>41</v>
      </c>
      <c r="D32" s="39"/>
      <c r="E32" s="39"/>
      <c r="F32" s="39"/>
      <c r="G32" s="39"/>
      <c r="H32" s="39"/>
      <c r="I32" s="39"/>
      <c r="J32" s="39"/>
      <c r="K32" s="63"/>
      <c r="L32" s="63"/>
      <c r="M32" s="64"/>
      <c r="N32" s="61"/>
      <c r="O32" s="65"/>
      <c r="P32" s="63"/>
      <c r="Q32" s="63"/>
      <c r="R32" s="63"/>
      <c r="S32" s="63"/>
      <c r="T32" s="63"/>
      <c r="U32" s="63"/>
      <c r="V32" s="63"/>
      <c r="W32" s="63"/>
      <c r="X32" s="63"/>
      <c r="Y32" s="63"/>
      <c r="Z32" s="2"/>
      <c r="AA32" s="3"/>
    </row>
    <row r="33" ht="14.25" customHeight="1">
      <c r="A33" s="1"/>
      <c r="B33" s="37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60"/>
      <c r="N33" s="61"/>
      <c r="O33" s="62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2"/>
      <c r="AA33" s="3"/>
    </row>
    <row r="34" ht="14.25" customHeight="1">
      <c r="A34" s="1"/>
      <c r="B34" s="37" t="s">
        <v>42</v>
      </c>
      <c r="C34" s="38" t="s">
        <v>43</v>
      </c>
      <c r="D34" s="39"/>
      <c r="E34" s="39"/>
      <c r="F34" s="39"/>
      <c r="G34" s="39"/>
      <c r="H34" s="39"/>
      <c r="I34" s="39"/>
      <c r="J34" s="39"/>
      <c r="K34" s="39"/>
      <c r="L34" s="39"/>
      <c r="M34" s="60"/>
      <c r="N34" s="61"/>
      <c r="O34" s="62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2"/>
      <c r="AA34" s="3"/>
    </row>
    <row r="35" ht="14.25" customHeight="1">
      <c r="A35" s="1"/>
      <c r="B35" s="37"/>
      <c r="C35" s="39" t="s">
        <v>44</v>
      </c>
      <c r="D35" s="39"/>
      <c r="E35" s="39"/>
      <c r="F35" s="39"/>
      <c r="G35" s="39"/>
      <c r="H35" s="39"/>
      <c r="I35" s="39"/>
      <c r="J35" s="39" t="s">
        <v>35</v>
      </c>
      <c r="K35" s="66">
        <f t="shared" ref="K35:Q35" si="8">IFERROR(K183/$N$182*100,0)</f>
        <v>0</v>
      </c>
      <c r="L35" s="66">
        <f t="shared" si="8"/>
        <v>0</v>
      </c>
      <c r="M35" s="67">
        <f t="shared" si="8"/>
        <v>0</v>
      </c>
      <c r="N35" s="68">
        <f t="shared" si="8"/>
        <v>100</v>
      </c>
      <c r="O35" s="69">
        <f t="shared" si="8"/>
        <v>0</v>
      </c>
      <c r="P35" s="66">
        <f t="shared" si="8"/>
        <v>0</v>
      </c>
      <c r="Q35" s="66">
        <f t="shared" si="8"/>
        <v>75</v>
      </c>
      <c r="R35" s="66">
        <v>100.0</v>
      </c>
      <c r="S35" s="46">
        <f t="shared" ref="S35:U35" si="9">IF(K35=0,0,IF((O35/K35*100)&gt;120,120,O35/K35*100))</f>
        <v>0</v>
      </c>
      <c r="T35" s="46">
        <f t="shared" si="9"/>
        <v>0</v>
      </c>
      <c r="U35" s="46">
        <f t="shared" si="9"/>
        <v>0</v>
      </c>
      <c r="V35" s="46">
        <f t="shared" ref="V35:Y35" si="10">IF($N35=0,0,IF((O35/$N35*100)&gt;120,120,O35/$N35*100))</f>
        <v>0</v>
      </c>
      <c r="W35" s="46">
        <f t="shared" si="10"/>
        <v>0</v>
      </c>
      <c r="X35" s="46">
        <f t="shared" si="10"/>
        <v>75</v>
      </c>
      <c r="Y35" s="46">
        <f t="shared" si="10"/>
        <v>100</v>
      </c>
      <c r="Z35" s="2"/>
      <c r="AA35" s="1" t="s">
        <v>36</v>
      </c>
    </row>
    <row r="36" ht="14.25" customHeight="1">
      <c r="A36" s="1"/>
      <c r="B36" s="37"/>
      <c r="C36" s="70" t="s">
        <v>45</v>
      </c>
      <c r="D36" s="39"/>
      <c r="E36" s="39"/>
      <c r="F36" s="39"/>
      <c r="G36" s="39"/>
      <c r="H36" s="39"/>
      <c r="I36" s="39"/>
      <c r="J36" s="39" t="s">
        <v>35</v>
      </c>
      <c r="K36" s="42">
        <v>0.0</v>
      </c>
      <c r="L36" s="42">
        <v>30.0</v>
      </c>
      <c r="M36" s="43">
        <v>60.0</v>
      </c>
      <c r="N36" s="71">
        <v>60.0</v>
      </c>
      <c r="O36" s="45">
        <v>0.0</v>
      </c>
      <c r="P36" s="42">
        <v>30.0</v>
      </c>
      <c r="Q36" s="42">
        <v>60.0</v>
      </c>
      <c r="R36" s="42">
        <v>60.0</v>
      </c>
      <c r="S36" s="46">
        <f t="shared" ref="S36:U36" si="11">IF(K36=0,0,IF((O36/K36*100)&gt;120,120,O36/K36*100))</f>
        <v>0</v>
      </c>
      <c r="T36" s="46">
        <f t="shared" si="11"/>
        <v>100</v>
      </c>
      <c r="U36" s="46">
        <f t="shared" si="11"/>
        <v>100</v>
      </c>
      <c r="V36" s="46">
        <f t="shared" ref="V36:Y36" si="12">IF($N36=0,0,IF((O36/$N36*100)&gt;120,120,O36/$N36*100))</f>
        <v>0</v>
      </c>
      <c r="W36" s="46">
        <f t="shared" si="12"/>
        <v>50</v>
      </c>
      <c r="X36" s="46">
        <f t="shared" si="12"/>
        <v>100</v>
      </c>
      <c r="Y36" s="46">
        <f t="shared" si="12"/>
        <v>100</v>
      </c>
      <c r="Z36" s="2"/>
      <c r="AA36" s="1" t="s">
        <v>36</v>
      </c>
    </row>
    <row r="37" ht="14.25" customHeight="1">
      <c r="A37" s="1"/>
      <c r="B37" s="51"/>
      <c r="C37" s="52"/>
      <c r="D37" s="53"/>
      <c r="E37" s="53"/>
      <c r="F37" s="53"/>
      <c r="G37" s="54" t="s">
        <v>46</v>
      </c>
      <c r="H37" s="53"/>
      <c r="I37" s="53"/>
      <c r="J37" s="53"/>
      <c r="K37" s="55"/>
      <c r="L37" s="55"/>
      <c r="M37" s="56"/>
      <c r="N37" s="72"/>
      <c r="O37" s="58"/>
      <c r="P37" s="55"/>
      <c r="Q37" s="55"/>
      <c r="R37" s="55"/>
      <c r="S37" s="59">
        <f t="shared" ref="S37:U37" si="13">IF(SUM(K35:K36)&gt;0,SUM(S35:S36)/COUNTIF(K35:K36,"&gt;0"),0)</f>
        <v>0</v>
      </c>
      <c r="T37" s="59">
        <f t="shared" si="13"/>
        <v>100</v>
      </c>
      <c r="U37" s="59">
        <f t="shared" si="13"/>
        <v>100</v>
      </c>
      <c r="V37" s="59">
        <f t="shared" ref="V37:Y37" si="14">IF(SUM($N35:$N36)&gt;0,SUM(V35:V36)/COUNTIF($N35:$N36,"&gt;0"),0)</f>
        <v>0</v>
      </c>
      <c r="W37" s="59">
        <f t="shared" si="14"/>
        <v>25</v>
      </c>
      <c r="X37" s="59">
        <f t="shared" si="14"/>
        <v>87.5</v>
      </c>
      <c r="Y37" s="59">
        <f t="shared" si="14"/>
        <v>100</v>
      </c>
      <c r="Z37" s="2"/>
      <c r="AA37" s="3"/>
    </row>
    <row r="38" ht="14.25" customHeight="1">
      <c r="A38" s="1"/>
      <c r="B38" s="37"/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60"/>
      <c r="N38" s="73"/>
      <c r="O38" s="62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2"/>
      <c r="AA38" s="3"/>
    </row>
    <row r="39" ht="14.25" customHeight="1">
      <c r="A39" s="1"/>
      <c r="B39" s="37" t="s">
        <v>47</v>
      </c>
      <c r="C39" s="38" t="s">
        <v>48</v>
      </c>
      <c r="D39" s="39"/>
      <c r="E39" s="39"/>
      <c r="F39" s="39"/>
      <c r="G39" s="39"/>
      <c r="H39" s="39"/>
      <c r="I39" s="39"/>
      <c r="J39" s="39"/>
      <c r="K39" s="39"/>
      <c r="L39" s="39"/>
      <c r="M39" s="60"/>
      <c r="N39" s="73"/>
      <c r="O39" s="62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2"/>
      <c r="AA39" s="3"/>
    </row>
    <row r="40" ht="14.25" customHeight="1">
      <c r="A40" s="1"/>
      <c r="B40" s="37"/>
      <c r="C40" s="39"/>
      <c r="D40" s="39"/>
      <c r="E40" s="39"/>
      <c r="F40" s="39"/>
      <c r="G40" s="39"/>
      <c r="H40" s="39"/>
      <c r="I40" s="39"/>
      <c r="J40" s="39"/>
      <c r="K40" s="39"/>
      <c r="L40" s="39"/>
      <c r="M40" s="60"/>
      <c r="N40" s="73"/>
      <c r="O40" s="62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2"/>
      <c r="AA40" s="3"/>
    </row>
    <row r="41" ht="14.25" customHeight="1">
      <c r="A41" s="1"/>
      <c r="B41" s="37">
        <v>3.1</v>
      </c>
      <c r="C41" s="38" t="s">
        <v>49</v>
      </c>
      <c r="D41" s="39"/>
      <c r="E41" s="39"/>
      <c r="F41" s="39"/>
      <c r="G41" s="39"/>
      <c r="H41" s="39"/>
      <c r="I41" s="39"/>
      <c r="J41" s="39"/>
      <c r="K41" s="39"/>
      <c r="L41" s="39"/>
      <c r="M41" s="60"/>
      <c r="N41" s="73"/>
      <c r="O41" s="62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2"/>
      <c r="AA41" s="3"/>
    </row>
    <row r="42" ht="14.25" customHeight="1">
      <c r="A42" s="1"/>
      <c r="B42" s="37"/>
      <c r="C42" s="39" t="s">
        <v>50</v>
      </c>
      <c r="D42" s="39"/>
      <c r="E42" s="39"/>
      <c r="F42" s="39"/>
      <c r="G42" s="39"/>
      <c r="H42" s="39"/>
      <c r="I42" s="39"/>
      <c r="J42" s="39" t="s">
        <v>35</v>
      </c>
      <c r="K42" s="42">
        <v>0.0</v>
      </c>
      <c r="L42" s="42">
        <v>5.0</v>
      </c>
      <c r="M42" s="43">
        <v>10.0</v>
      </c>
      <c r="N42" s="74">
        <v>15.0</v>
      </c>
      <c r="O42" s="45">
        <v>0.0</v>
      </c>
      <c r="P42" s="42">
        <v>5.0</v>
      </c>
      <c r="Q42" s="42">
        <v>10.0</v>
      </c>
      <c r="R42" s="42">
        <v>16.0</v>
      </c>
      <c r="S42" s="46">
        <f t="shared" ref="S42:U42" si="15">IF(K42=0,0,IF((O42/K42*100)&gt;120,120,O42/K42*100))</f>
        <v>0</v>
      </c>
      <c r="T42" s="46">
        <f t="shared" si="15"/>
        <v>100</v>
      </c>
      <c r="U42" s="46">
        <f t="shared" si="15"/>
        <v>100</v>
      </c>
      <c r="V42" s="46">
        <f t="shared" ref="V42:Y42" si="16">IF($N42=0,0,IF((O42/$N42*100)&gt;120,120,O42/$N42*100))</f>
        <v>0</v>
      </c>
      <c r="W42" s="46">
        <f t="shared" si="16"/>
        <v>33.33333333</v>
      </c>
      <c r="X42" s="46">
        <f t="shared" si="16"/>
        <v>66.66666667</v>
      </c>
      <c r="Y42" s="46">
        <f t="shared" si="16"/>
        <v>106.6666667</v>
      </c>
      <c r="Z42" s="2"/>
      <c r="AA42" s="1" t="s">
        <v>36</v>
      </c>
    </row>
    <row r="43" ht="14.25" customHeight="1">
      <c r="A43" s="1"/>
      <c r="B43" s="51"/>
      <c r="C43" s="52"/>
      <c r="D43" s="53"/>
      <c r="E43" s="53"/>
      <c r="F43" s="53"/>
      <c r="G43" s="54" t="s">
        <v>51</v>
      </c>
      <c r="H43" s="53"/>
      <c r="I43" s="53"/>
      <c r="J43" s="53"/>
      <c r="K43" s="55"/>
      <c r="L43" s="55"/>
      <c r="M43" s="56"/>
      <c r="N43" s="72"/>
      <c r="O43" s="58"/>
      <c r="P43" s="55"/>
      <c r="Q43" s="55"/>
      <c r="R43" s="55"/>
      <c r="S43" s="59">
        <f t="shared" ref="S43:U43" si="17">IF(SUM(K42)&gt;0,SUM(S42)/COUNTIF(K42,"&gt;0"),0)</f>
        <v>0</v>
      </c>
      <c r="T43" s="59">
        <f t="shared" si="17"/>
        <v>100</v>
      </c>
      <c r="U43" s="59">
        <f t="shared" si="17"/>
        <v>100</v>
      </c>
      <c r="V43" s="59">
        <f t="shared" ref="V43:Y43" si="18">IF(SUM($N42)&gt;0,SUM(V42)/COUNTIF($N42,"&gt;0"),0)</f>
        <v>0</v>
      </c>
      <c r="W43" s="59">
        <f t="shared" si="18"/>
        <v>33.33333333</v>
      </c>
      <c r="X43" s="59">
        <f t="shared" si="18"/>
        <v>66.66666667</v>
      </c>
      <c r="Y43" s="59">
        <f t="shared" si="18"/>
        <v>106.6666667</v>
      </c>
      <c r="Z43" s="2"/>
      <c r="AA43" s="3"/>
    </row>
    <row r="44" ht="14.25" customHeight="1">
      <c r="A44" s="1"/>
      <c r="B44" s="37"/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60"/>
      <c r="N44" s="73"/>
      <c r="O44" s="62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2"/>
      <c r="AA44" s="3"/>
    </row>
    <row r="45" ht="14.25" customHeight="1">
      <c r="A45" s="1"/>
      <c r="B45" s="37" t="s">
        <v>52</v>
      </c>
      <c r="C45" s="38" t="s">
        <v>53</v>
      </c>
      <c r="D45" s="39"/>
      <c r="E45" s="39"/>
      <c r="F45" s="39"/>
      <c r="G45" s="39"/>
      <c r="H45" s="39"/>
      <c r="I45" s="39"/>
      <c r="J45" s="39"/>
      <c r="K45" s="39"/>
      <c r="L45" s="39"/>
      <c r="M45" s="60"/>
      <c r="N45" s="73"/>
      <c r="O45" s="62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2"/>
      <c r="AA45" s="3"/>
    </row>
    <row r="46" ht="14.25" customHeight="1">
      <c r="A46" s="1"/>
      <c r="B46" s="37"/>
      <c r="C46" s="39"/>
      <c r="D46" s="39"/>
      <c r="E46" s="39"/>
      <c r="F46" s="39"/>
      <c r="G46" s="39"/>
      <c r="H46" s="39"/>
      <c r="I46" s="39"/>
      <c r="J46" s="39"/>
      <c r="K46" s="39"/>
      <c r="L46" s="39"/>
      <c r="M46" s="60"/>
      <c r="N46" s="73"/>
      <c r="O46" s="62"/>
      <c r="P46" s="39"/>
      <c r="Q46" s="39"/>
      <c r="R46" s="39"/>
      <c r="S46" s="39"/>
      <c r="T46" s="39"/>
      <c r="U46" s="39"/>
      <c r="V46" s="39"/>
      <c r="W46" s="39"/>
      <c r="X46" s="39"/>
      <c r="Y46" s="39"/>
      <c r="Z46" s="2"/>
      <c r="AA46" s="3"/>
    </row>
    <row r="47" ht="14.25" customHeight="1">
      <c r="A47" s="1"/>
      <c r="B47" s="37">
        <v>4.1</v>
      </c>
      <c r="C47" s="38" t="s">
        <v>54</v>
      </c>
      <c r="D47" s="39"/>
      <c r="E47" s="39"/>
      <c r="F47" s="39"/>
      <c r="G47" s="39"/>
      <c r="H47" s="39"/>
      <c r="I47" s="39"/>
      <c r="J47" s="39"/>
      <c r="K47" s="39"/>
      <c r="L47" s="39"/>
      <c r="M47" s="60"/>
      <c r="N47" s="73"/>
      <c r="O47" s="62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2"/>
      <c r="AA47" s="3"/>
    </row>
    <row r="48" ht="14.25" customHeight="1">
      <c r="A48" s="1"/>
      <c r="B48" s="37"/>
      <c r="C48" s="39" t="s">
        <v>55</v>
      </c>
      <c r="D48" s="39"/>
      <c r="E48" s="39"/>
      <c r="F48" s="39"/>
      <c r="G48" s="39"/>
      <c r="H48" s="39"/>
      <c r="I48" s="39"/>
      <c r="J48" s="39" t="s">
        <v>56</v>
      </c>
      <c r="K48" s="42">
        <v>0.0</v>
      </c>
      <c r="L48" s="42">
        <v>0.0</v>
      </c>
      <c r="M48" s="43">
        <v>0.0</v>
      </c>
      <c r="N48" s="75">
        <v>70.0</v>
      </c>
      <c r="O48" s="45">
        <v>0.0</v>
      </c>
      <c r="P48" s="42">
        <v>0.0</v>
      </c>
      <c r="Q48" s="42">
        <v>0.0</v>
      </c>
      <c r="R48" s="42">
        <v>71.57</v>
      </c>
      <c r="S48" s="46">
        <f t="shared" ref="S48:U48" si="19">IF(K48=0,0,IF((O48/K48*100)&gt;120,120,O48/K48*100))</f>
        <v>0</v>
      </c>
      <c r="T48" s="46">
        <f t="shared" si="19"/>
        <v>0</v>
      </c>
      <c r="U48" s="46">
        <f t="shared" si="19"/>
        <v>0</v>
      </c>
      <c r="V48" s="46">
        <f t="shared" ref="V48:Y48" si="20">IF($N48=0,0,IF((O48/$N48*100)&gt;120,120,O48/$N48*100))</f>
        <v>0</v>
      </c>
      <c r="W48" s="46">
        <f t="shared" si="20"/>
        <v>0</v>
      </c>
      <c r="X48" s="46">
        <f t="shared" si="20"/>
        <v>0</v>
      </c>
      <c r="Y48" s="46">
        <f t="shared" si="20"/>
        <v>102.2428571</v>
      </c>
      <c r="Z48" s="2"/>
      <c r="AA48" s="1" t="s">
        <v>57</v>
      </c>
    </row>
    <row r="49" ht="14.25" customHeight="1">
      <c r="A49" s="1"/>
      <c r="B49" s="37"/>
      <c r="C49" s="39" t="s">
        <v>58</v>
      </c>
      <c r="D49" s="39"/>
      <c r="E49" s="39"/>
      <c r="F49" s="39"/>
      <c r="G49" s="39"/>
      <c r="H49" s="39"/>
      <c r="I49" s="39"/>
      <c r="J49" s="39" t="s">
        <v>35</v>
      </c>
      <c r="K49" s="42">
        <v>0.0</v>
      </c>
      <c r="L49" s="42">
        <v>0.0</v>
      </c>
      <c r="M49" s="43">
        <v>0.0</v>
      </c>
      <c r="N49" s="75">
        <v>99.0</v>
      </c>
      <c r="O49" s="45">
        <v>0.0</v>
      </c>
      <c r="P49" s="42">
        <v>0.0</v>
      </c>
      <c r="Q49" s="42">
        <v>0.0</v>
      </c>
      <c r="R49" s="42">
        <v>99.43</v>
      </c>
      <c r="S49" s="46">
        <f t="shared" ref="S49:U49" si="21">IF(K49=0,0,IF((O49/K49*100)&gt;120,120,O49/K49*100))</f>
        <v>0</v>
      </c>
      <c r="T49" s="46">
        <f t="shared" si="21"/>
        <v>0</v>
      </c>
      <c r="U49" s="46">
        <f t="shared" si="21"/>
        <v>0</v>
      </c>
      <c r="V49" s="46">
        <f t="shared" ref="V49:Y49" si="22">IF($N49=0,0,IF((O49/$N49*100)&gt;120,120,O49/$N49*100))</f>
        <v>0</v>
      </c>
      <c r="W49" s="46">
        <f t="shared" si="22"/>
        <v>0</v>
      </c>
      <c r="X49" s="46">
        <f t="shared" si="22"/>
        <v>0</v>
      </c>
      <c r="Y49" s="46">
        <f t="shared" si="22"/>
        <v>100.4343434</v>
      </c>
      <c r="Z49" s="2"/>
      <c r="AA49" s="1" t="s">
        <v>57</v>
      </c>
    </row>
    <row r="50" ht="14.25" customHeight="1">
      <c r="A50" s="1"/>
      <c r="B50" s="51"/>
      <c r="C50" s="52"/>
      <c r="D50" s="53"/>
      <c r="E50" s="53"/>
      <c r="F50" s="53"/>
      <c r="G50" s="54" t="s">
        <v>59</v>
      </c>
      <c r="H50" s="53"/>
      <c r="I50" s="53"/>
      <c r="J50" s="53"/>
      <c r="K50" s="55"/>
      <c r="L50" s="55"/>
      <c r="M50" s="56"/>
      <c r="N50" s="76"/>
      <c r="O50" s="58"/>
      <c r="P50" s="55"/>
      <c r="Q50" s="55"/>
      <c r="R50" s="55"/>
      <c r="S50" s="59">
        <f t="shared" ref="S50:U50" si="23">IF(SUM(K48:K49)&gt;0,SUM(S48:S49)/COUNTIF(K48:K49,"&gt;0"),0)</f>
        <v>0</v>
      </c>
      <c r="T50" s="59">
        <f t="shared" si="23"/>
        <v>0</v>
      </c>
      <c r="U50" s="59">
        <f t="shared" si="23"/>
        <v>0</v>
      </c>
      <c r="V50" s="59">
        <f t="shared" ref="V50:Y50" si="24">IF(SUM($N48:$N49)&gt;0,SUM(V48:V49)/COUNTIF($N48:$N49,"&gt;0"),0)</f>
        <v>0</v>
      </c>
      <c r="W50" s="59">
        <f t="shared" si="24"/>
        <v>0</v>
      </c>
      <c r="X50" s="59">
        <f t="shared" si="24"/>
        <v>0</v>
      </c>
      <c r="Y50" s="59">
        <f t="shared" si="24"/>
        <v>101.3386003</v>
      </c>
      <c r="Z50" s="2"/>
      <c r="AA50" s="3"/>
    </row>
    <row r="51" ht="14.25" customHeight="1">
      <c r="A51" s="1"/>
      <c r="B51" s="37"/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77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2"/>
      <c r="AA51" s="3"/>
    </row>
    <row r="52" ht="24.75" customHeight="1">
      <c r="A52" s="1"/>
      <c r="B52" s="78"/>
      <c r="C52" s="79"/>
      <c r="D52" s="80"/>
      <c r="E52" s="80"/>
      <c r="F52" s="80"/>
      <c r="G52" s="81" t="s">
        <v>60</v>
      </c>
      <c r="H52" s="80"/>
      <c r="I52" s="80"/>
      <c r="J52" s="80"/>
      <c r="K52" s="82"/>
      <c r="L52" s="82"/>
      <c r="M52" s="82"/>
      <c r="N52" s="82"/>
      <c r="O52" s="82"/>
      <c r="P52" s="82"/>
      <c r="Q52" s="82"/>
      <c r="R52" s="82"/>
      <c r="S52" s="83">
        <f t="shared" ref="S52:U52" si="25">IF(SUM(K28:K49)&gt;0,SUM(S28:S29,S35:S36,S42,S48:S49)/COUNTIF(K28:K49,"&gt;0"),0)</f>
        <v>100</v>
      </c>
      <c r="T52" s="83">
        <f t="shared" si="25"/>
        <v>102.5641026</v>
      </c>
      <c r="U52" s="83">
        <f t="shared" si="25"/>
        <v>100</v>
      </c>
      <c r="V52" s="83">
        <f t="shared" ref="V52:Y52" si="26">IF(SUM($N28:$N49)&gt;0,SUM(V28:V29,V35:V36,V42,V48:V49)/COUNTIF($N28:$N49,"&gt;0"),0)</f>
        <v>1.428571429</v>
      </c>
      <c r="W52" s="83">
        <f t="shared" si="26"/>
        <v>18.57142857</v>
      </c>
      <c r="X52" s="83">
        <f t="shared" si="26"/>
        <v>44.04761905</v>
      </c>
      <c r="Y52" s="83">
        <f t="shared" si="26"/>
        <v>94.19198103</v>
      </c>
      <c r="Z52" s="2"/>
      <c r="AA52" s="3"/>
    </row>
    <row r="53" ht="24.75" customHeight="1">
      <c r="A53" s="1"/>
      <c r="B53" s="84"/>
      <c r="C53" s="85"/>
      <c r="D53" s="5"/>
      <c r="E53" s="5"/>
      <c r="F53" s="5"/>
      <c r="G53" s="86"/>
      <c r="H53" s="5"/>
      <c r="I53" s="5"/>
      <c r="J53" s="5"/>
      <c r="K53" s="87"/>
      <c r="L53" s="87"/>
      <c r="M53" s="87"/>
      <c r="N53" s="87"/>
      <c r="O53" s="87"/>
      <c r="P53" s="87"/>
      <c r="Q53" s="87"/>
      <c r="R53" s="87"/>
      <c r="S53" s="88"/>
      <c r="T53" s="88"/>
      <c r="U53" s="88"/>
      <c r="V53" s="88"/>
      <c r="W53" s="88"/>
      <c r="X53" s="88"/>
      <c r="Y53" s="88"/>
      <c r="Z53" s="5"/>
      <c r="AA53" s="1"/>
    </row>
    <row r="54" ht="253.5" customHeight="1">
      <c r="A54" s="1"/>
      <c r="B54" s="84"/>
      <c r="C54" s="85"/>
      <c r="D54" s="5"/>
      <c r="E54" s="5"/>
      <c r="F54" s="5"/>
      <c r="G54" s="86"/>
      <c r="H54" s="5"/>
      <c r="I54" s="5"/>
      <c r="J54" s="5"/>
      <c r="K54" s="87"/>
      <c r="L54" s="87"/>
      <c r="M54" s="87"/>
      <c r="N54" s="87"/>
      <c r="O54" s="87"/>
      <c r="P54" s="87"/>
      <c r="Q54" s="87"/>
      <c r="R54" s="87"/>
      <c r="S54" s="88"/>
      <c r="T54" s="88"/>
      <c r="U54" s="88"/>
      <c r="V54" s="88"/>
      <c r="W54" s="88"/>
      <c r="X54" s="88"/>
      <c r="Y54" s="88"/>
      <c r="Z54" s="5"/>
      <c r="AA54" s="1"/>
    </row>
    <row r="55" ht="14.25" customHeight="1">
      <c r="A55" s="1"/>
      <c r="B55" s="4" t="s">
        <v>61</v>
      </c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6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2"/>
      <c r="AA55" s="3"/>
    </row>
    <row r="56" ht="15.75" customHeight="1">
      <c r="A56" s="1"/>
      <c r="B56" s="89" t="s">
        <v>2</v>
      </c>
      <c r="C56" s="8"/>
      <c r="D56" s="8"/>
      <c r="E56" s="8"/>
      <c r="F56" s="8"/>
      <c r="G56" s="8"/>
      <c r="H56" s="8"/>
      <c r="I56" s="90"/>
      <c r="J56" s="91" t="s">
        <v>3</v>
      </c>
      <c r="K56" s="11"/>
      <c r="L56" s="11"/>
      <c r="M56" s="11"/>
      <c r="N56" s="11"/>
      <c r="O56" s="11"/>
      <c r="P56" s="11"/>
      <c r="Q56" s="11"/>
      <c r="R56" s="12"/>
      <c r="S56" s="91" t="s">
        <v>4</v>
      </c>
      <c r="T56" s="11"/>
      <c r="U56" s="11"/>
      <c r="V56" s="11"/>
      <c r="W56" s="11"/>
      <c r="X56" s="11"/>
      <c r="Y56" s="12"/>
      <c r="Z56" s="2"/>
      <c r="AA56" s="3"/>
    </row>
    <row r="57" ht="15.0" customHeight="1">
      <c r="A57" s="1"/>
      <c r="B57" s="13"/>
      <c r="I57" s="92"/>
      <c r="J57" s="93" t="s">
        <v>5</v>
      </c>
      <c r="K57" s="94" t="s">
        <v>62</v>
      </c>
      <c r="L57" s="17"/>
      <c r="M57" s="17"/>
      <c r="N57" s="18"/>
      <c r="O57" s="94" t="s">
        <v>63</v>
      </c>
      <c r="P57" s="17"/>
      <c r="Q57" s="17"/>
      <c r="R57" s="18"/>
      <c r="S57" s="94" t="s">
        <v>64</v>
      </c>
      <c r="T57" s="17"/>
      <c r="U57" s="18"/>
      <c r="V57" s="94" t="s">
        <v>9</v>
      </c>
      <c r="W57" s="17"/>
      <c r="X57" s="17"/>
      <c r="Y57" s="18"/>
      <c r="Z57" s="2"/>
      <c r="AA57" s="3"/>
    </row>
    <row r="58" ht="14.25" customHeight="1">
      <c r="A58" s="1"/>
      <c r="B58" s="19"/>
      <c r="C58" s="20"/>
      <c r="D58" s="20"/>
      <c r="E58" s="20"/>
      <c r="F58" s="20"/>
      <c r="G58" s="20"/>
      <c r="H58" s="20"/>
      <c r="I58" s="21"/>
      <c r="J58" s="22"/>
      <c r="K58" s="95" t="s">
        <v>10</v>
      </c>
      <c r="L58" s="95" t="s">
        <v>11</v>
      </c>
      <c r="M58" s="95" t="s">
        <v>12</v>
      </c>
      <c r="N58" s="95" t="s">
        <v>13</v>
      </c>
      <c r="O58" s="95" t="s">
        <v>10</v>
      </c>
      <c r="P58" s="95" t="s">
        <v>11</v>
      </c>
      <c r="Q58" s="95" t="s">
        <v>12</v>
      </c>
      <c r="R58" s="95" t="s">
        <v>13</v>
      </c>
      <c r="S58" s="95" t="s">
        <v>10</v>
      </c>
      <c r="T58" s="95" t="s">
        <v>11</v>
      </c>
      <c r="U58" s="95" t="s">
        <v>12</v>
      </c>
      <c r="V58" s="95" t="s">
        <v>10</v>
      </c>
      <c r="W58" s="95" t="s">
        <v>11</v>
      </c>
      <c r="X58" s="95" t="s">
        <v>12</v>
      </c>
      <c r="Y58" s="96" t="s">
        <v>13</v>
      </c>
      <c r="Z58" s="25"/>
      <c r="AA58" s="3"/>
    </row>
    <row r="59" ht="14.25" customHeight="1">
      <c r="A59" s="1"/>
      <c r="B59" s="97">
        <v>-1.0</v>
      </c>
      <c r="C59" s="27"/>
      <c r="D59" s="27"/>
      <c r="E59" s="27"/>
      <c r="F59" s="27"/>
      <c r="G59" s="27"/>
      <c r="H59" s="27"/>
      <c r="I59" s="98"/>
      <c r="J59" s="99">
        <v>-2.0</v>
      </c>
      <c r="K59" s="99">
        <v>-3.0</v>
      </c>
      <c r="L59" s="99">
        <v>-4.0</v>
      </c>
      <c r="M59" s="99">
        <v>-5.0</v>
      </c>
      <c r="N59" s="99">
        <v>-6.0</v>
      </c>
      <c r="O59" s="99">
        <v>-7.0</v>
      </c>
      <c r="P59" s="99">
        <v>-8.0</v>
      </c>
      <c r="Q59" s="99">
        <v>-9.0</v>
      </c>
      <c r="R59" s="99">
        <v>-10.0</v>
      </c>
      <c r="S59" s="99">
        <v>-11.0</v>
      </c>
      <c r="T59" s="99">
        <v>-12.0</v>
      </c>
      <c r="U59" s="99">
        <v>-13.0</v>
      </c>
      <c r="V59" s="99">
        <v>-14.0</v>
      </c>
      <c r="W59" s="99">
        <v>-15.0</v>
      </c>
      <c r="X59" s="99">
        <v>-16.0</v>
      </c>
      <c r="Y59" s="99">
        <v>-17.0</v>
      </c>
      <c r="Z59" s="100"/>
      <c r="AA59" s="101"/>
    </row>
    <row r="60" ht="14.25" customHeight="1">
      <c r="A60" s="1"/>
      <c r="B60" s="32"/>
      <c r="C60" s="33"/>
      <c r="D60" s="33"/>
      <c r="E60" s="33"/>
      <c r="F60" s="34"/>
      <c r="G60" s="35"/>
      <c r="H60" s="35"/>
      <c r="I60" s="35"/>
      <c r="J60" s="35"/>
      <c r="K60" s="35"/>
      <c r="L60" s="35"/>
      <c r="M60" s="35"/>
      <c r="N60" s="102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2"/>
      <c r="AA60" s="3"/>
    </row>
    <row r="61" ht="14.25" customHeight="1">
      <c r="A61" s="1"/>
      <c r="B61" s="37"/>
      <c r="C61" s="39" t="s">
        <v>65</v>
      </c>
      <c r="D61" s="39"/>
      <c r="E61" s="39"/>
      <c r="F61" s="39"/>
      <c r="G61" s="39"/>
      <c r="H61" s="39"/>
      <c r="I61" s="103"/>
      <c r="J61" s="103" t="s">
        <v>66</v>
      </c>
      <c r="K61" s="42">
        <f>'Sub Koordinator Modif'!K8+'Sub Koordinator Modif'!K21+'Sub Koordinator Modif'!K35+'Sub Koordinator Modif'!K49</f>
        <v>3</v>
      </c>
      <c r="L61" s="42">
        <f>'Sub Koordinator Modif'!L8+'Sub Koordinator Modif'!L21+'Sub Koordinator Modif'!L35+'Sub Koordinator Modif'!L49</f>
        <v>4</v>
      </c>
      <c r="M61" s="42">
        <f>'Sub Koordinator Modif'!M8+'Sub Koordinator Modif'!M21+'Sub Koordinator Modif'!M35+'Sub Koordinator Modif'!M49</f>
        <v>8</v>
      </c>
      <c r="N61" s="42">
        <f>'Sub Koordinator Modif'!N8+'Sub Koordinator Modif'!N21+'Sub Koordinator Modif'!N35+'Sub Koordinator Modif'!N49</f>
        <v>16</v>
      </c>
      <c r="O61" s="42">
        <f>'Sub Koordinator Modif'!O8+'Sub Koordinator Modif'!O21+'Sub Koordinator Modif'!O35+'Sub Koordinator Modif'!O49</f>
        <v>3</v>
      </c>
      <c r="P61" s="42">
        <f>'Sub Koordinator Modif'!P8+'Sub Koordinator Modif'!P21+'Sub Koordinator Modif'!P35+'Sub Koordinator Modif'!P49</f>
        <v>4</v>
      </c>
      <c r="Q61" s="42">
        <f>'Sub Koordinator Modif'!Q8+'Sub Koordinator Modif'!Q21+'Sub Koordinator Modif'!Q35+'Sub Koordinator Modif'!Q49</f>
        <v>8</v>
      </c>
      <c r="R61" s="42">
        <f>'Sub Koordinator Modif'!R8+'Sub Koordinator Modif'!R21+'Sub Koordinator Modif'!R35+'Sub Koordinator Modif'!R49</f>
        <v>16</v>
      </c>
      <c r="S61" s="46">
        <f t="shared" ref="S61:U61" si="27">IF(K61=0,0,IF((O61/K61*100)&gt;120,120,O61/K61*100))</f>
        <v>100</v>
      </c>
      <c r="T61" s="46">
        <f t="shared" si="27"/>
        <v>100</v>
      </c>
      <c r="U61" s="46">
        <f t="shared" si="27"/>
        <v>100</v>
      </c>
      <c r="V61" s="46">
        <f t="shared" ref="V61:Y61" si="28">IF($N61=0,0,IF((O61/$N61*100)&gt;120,120,O61/$N61*100))</f>
        <v>18.75</v>
      </c>
      <c r="W61" s="46">
        <f t="shared" si="28"/>
        <v>25</v>
      </c>
      <c r="X61" s="46">
        <f t="shared" si="28"/>
        <v>50</v>
      </c>
      <c r="Y61" s="46">
        <f t="shared" si="28"/>
        <v>100</v>
      </c>
      <c r="Z61" s="2"/>
      <c r="AA61" s="3"/>
    </row>
    <row r="62" ht="14.25" customHeight="1">
      <c r="A62" s="1"/>
      <c r="B62" s="37"/>
      <c r="C62" s="39" t="s">
        <v>67</v>
      </c>
      <c r="D62" s="39"/>
      <c r="E62" s="39"/>
      <c r="F62" s="39"/>
      <c r="G62" s="39"/>
      <c r="H62" s="39"/>
      <c r="I62" s="103"/>
      <c r="J62" s="103" t="s">
        <v>66</v>
      </c>
      <c r="K62" s="42">
        <f>'Sub Koordinator Modif'!K9+'Sub Koordinator Modif'!K22+'Sub Koordinator Modif'!K38+'Sub Koordinator Modif'!K50</f>
        <v>3</v>
      </c>
      <c r="L62" s="42">
        <f>'Sub Koordinator Modif'!L9+'Sub Koordinator Modif'!L22+'Sub Koordinator Modif'!L38+'Sub Koordinator Modif'!L50</f>
        <v>4</v>
      </c>
      <c r="M62" s="42">
        <f>'Sub Koordinator Modif'!M9+'Sub Koordinator Modif'!M22+'Sub Koordinator Modif'!M38+'Sub Koordinator Modif'!M50</f>
        <v>8</v>
      </c>
      <c r="N62" s="104">
        <f>'Sub Koordinator Modif'!N9+'Sub Koordinator Modif'!N22+'Sub Koordinator Modif'!N38+'Sub Koordinator Modif'!N50</f>
        <v>16</v>
      </c>
      <c r="O62" s="42">
        <f>'Sub Koordinator Modif'!O9+'Sub Koordinator Modif'!O22+'Sub Koordinator Modif'!O38+'Sub Koordinator Modif'!O50</f>
        <v>3</v>
      </c>
      <c r="P62" s="42">
        <f>'Sub Koordinator Modif'!P9+'Sub Koordinator Modif'!P22+'Sub Koordinator Modif'!P38+'Sub Koordinator Modif'!P50</f>
        <v>4</v>
      </c>
      <c r="Q62" s="42">
        <f>'Sub Koordinator Modif'!Q9+'Sub Koordinator Modif'!Q22+'Sub Koordinator Modif'!Q38+'Sub Koordinator Modif'!Q50</f>
        <v>8</v>
      </c>
      <c r="R62" s="42">
        <f>'Sub Koordinator Modif'!R9+'Sub Koordinator Modif'!R22+'Sub Koordinator Modif'!R38+'Sub Koordinator Modif'!R50</f>
        <v>16</v>
      </c>
      <c r="S62" s="46">
        <f t="shared" ref="S62:U62" si="29">IF(K62=0,0,IF((O62/K62*100)&gt;120,120,O62/K62*100))</f>
        <v>100</v>
      </c>
      <c r="T62" s="46">
        <f t="shared" si="29"/>
        <v>100</v>
      </c>
      <c r="U62" s="46">
        <f t="shared" si="29"/>
        <v>100</v>
      </c>
      <c r="V62" s="46">
        <f t="shared" ref="V62:Y62" si="30">IF($N62=0,0,IF((O62/$N62*100)&gt;120,120,O62/$N62*100))</f>
        <v>18.75</v>
      </c>
      <c r="W62" s="46">
        <f t="shared" si="30"/>
        <v>25</v>
      </c>
      <c r="X62" s="46">
        <f t="shared" si="30"/>
        <v>50</v>
      </c>
      <c r="Y62" s="46">
        <f t="shared" si="30"/>
        <v>100</v>
      </c>
      <c r="Z62" s="2"/>
      <c r="AA62" s="3"/>
    </row>
    <row r="63" ht="14.25" customHeight="1">
      <c r="A63" s="1"/>
      <c r="B63" s="37"/>
      <c r="C63" s="39" t="s">
        <v>68</v>
      </c>
      <c r="D63" s="39"/>
      <c r="E63" s="39"/>
      <c r="F63" s="41"/>
      <c r="G63" s="39"/>
      <c r="H63" s="39"/>
      <c r="I63" s="103"/>
      <c r="J63" s="103" t="s">
        <v>35</v>
      </c>
      <c r="K63" s="42">
        <f>'Sub Koordinator Modif'!K10</f>
        <v>15</v>
      </c>
      <c r="L63" s="42">
        <f>'Sub Koordinator Modif'!L10</f>
        <v>40</v>
      </c>
      <c r="M63" s="42">
        <f>'Sub Koordinator Modif'!M10</f>
        <v>76</v>
      </c>
      <c r="N63" s="104">
        <f>'Sub Koordinator Modif'!N10</f>
        <v>98</v>
      </c>
      <c r="O63" s="42">
        <f>'Sub Koordinator Modif'!O10</f>
        <v>15</v>
      </c>
      <c r="P63" s="105">
        <f>'Sub Koordinator Modif'!P10</f>
        <v>38.38</v>
      </c>
      <c r="Q63" s="105">
        <f>'Sub Koordinator Modif'!Q10</f>
        <v>68.56</v>
      </c>
      <c r="R63" s="42">
        <f>'Sub Koordinator Modif'!R10</f>
        <v>99</v>
      </c>
      <c r="S63" s="46">
        <f t="shared" ref="S63:U63" si="31">IF(K63=0,0,IF((O63/K63*100)&gt;120,120,O63/K63*100))</f>
        <v>100</v>
      </c>
      <c r="T63" s="46">
        <f t="shared" si="31"/>
        <v>95.95</v>
      </c>
      <c r="U63" s="46">
        <f t="shared" si="31"/>
        <v>90.21052632</v>
      </c>
      <c r="V63" s="46">
        <f t="shared" ref="V63:Y63" si="32">IF($N63=0,0,IF((O63/$N63*100)&gt;120,120,O63/$N63*100))</f>
        <v>15.30612245</v>
      </c>
      <c r="W63" s="46">
        <f t="shared" si="32"/>
        <v>39.16326531</v>
      </c>
      <c r="X63" s="46">
        <f t="shared" si="32"/>
        <v>69.95918367</v>
      </c>
      <c r="Y63" s="46">
        <f t="shared" si="32"/>
        <v>101.0204082</v>
      </c>
      <c r="Z63" s="2"/>
      <c r="AA63" s="3"/>
    </row>
    <row r="64" ht="14.25" customHeight="1">
      <c r="A64" s="1"/>
      <c r="B64" s="37"/>
      <c r="C64" s="39" t="s">
        <v>69</v>
      </c>
      <c r="D64" s="39"/>
      <c r="E64" s="39"/>
      <c r="F64" s="41"/>
      <c r="G64" s="39"/>
      <c r="H64" s="39"/>
      <c r="I64" s="103"/>
      <c r="J64" s="103" t="s">
        <v>35</v>
      </c>
      <c r="K64" s="42">
        <f>'Sub Koordinator Modif'!K23</f>
        <v>25</v>
      </c>
      <c r="L64" s="42">
        <f>'Sub Koordinator Modif'!L23</f>
        <v>50</v>
      </c>
      <c r="M64" s="42">
        <f>'Sub Koordinator Modif'!M23</f>
        <v>75</v>
      </c>
      <c r="N64" s="104">
        <f>'Sub Koordinator Modif'!N23</f>
        <v>100</v>
      </c>
      <c r="O64" s="42">
        <f>'Sub Koordinator Modif'!O23</f>
        <v>25</v>
      </c>
      <c r="P64" s="42">
        <f>'Sub Koordinator Modif'!P23</f>
        <v>50</v>
      </c>
      <c r="Q64" s="42">
        <f>'Sub Koordinator Modif'!Q23</f>
        <v>75</v>
      </c>
      <c r="R64" s="42">
        <f>'Sub Koordinator Modif'!R23</f>
        <v>100</v>
      </c>
      <c r="S64" s="46">
        <f t="shared" ref="S64:U64" si="33">IF(K64=0,0,IF((O64/K64*100)&gt;120,120,O64/K64*100))</f>
        <v>100</v>
      </c>
      <c r="T64" s="46">
        <f t="shared" si="33"/>
        <v>100</v>
      </c>
      <c r="U64" s="46">
        <f t="shared" si="33"/>
        <v>100</v>
      </c>
      <c r="V64" s="46">
        <f t="shared" ref="V64:Y64" si="34">IF($N64=0,0,IF((O64/$N64*100)&gt;120,120,O64/$N64*100))</f>
        <v>25</v>
      </c>
      <c r="W64" s="46">
        <f t="shared" si="34"/>
        <v>50</v>
      </c>
      <c r="X64" s="46">
        <f t="shared" si="34"/>
        <v>75</v>
      </c>
      <c r="Y64" s="46">
        <f t="shared" si="34"/>
        <v>100</v>
      </c>
      <c r="Z64" s="2"/>
      <c r="AA64" s="3"/>
    </row>
    <row r="65" ht="14.25" customHeight="1">
      <c r="A65" s="1"/>
      <c r="B65" s="37"/>
      <c r="C65" s="39" t="s">
        <v>70</v>
      </c>
      <c r="D65" s="39"/>
      <c r="E65" s="39"/>
      <c r="F65" s="39"/>
      <c r="G65" s="39"/>
      <c r="H65" s="39"/>
      <c r="I65" s="103"/>
      <c r="J65" s="103" t="s">
        <v>35</v>
      </c>
      <c r="K65" s="42">
        <f>'Sub Koordinator Modif'!K24</f>
        <v>25</v>
      </c>
      <c r="L65" s="42">
        <f>'Sub Koordinator Modif'!L24</f>
        <v>50</v>
      </c>
      <c r="M65" s="42">
        <f>'Sub Koordinator Modif'!M24</f>
        <v>75</v>
      </c>
      <c r="N65" s="104">
        <f>'Sub Koordinator Modif'!N24</f>
        <v>100</v>
      </c>
      <c r="O65" s="42">
        <f>'Sub Koordinator Modif'!O24</f>
        <v>25</v>
      </c>
      <c r="P65" s="42">
        <f>'Sub Koordinator Modif'!P24</f>
        <v>50</v>
      </c>
      <c r="Q65" s="42">
        <f>'Sub Koordinator Modif'!Q24</f>
        <v>75</v>
      </c>
      <c r="R65" s="42">
        <f>'Sub Koordinator Modif'!R24</f>
        <v>100</v>
      </c>
      <c r="S65" s="46">
        <f t="shared" ref="S65:U65" si="35">IF(K65=0,0,IF((O65/K65*100)&gt;120,120,O65/K65*100))</f>
        <v>100</v>
      </c>
      <c r="T65" s="46">
        <f t="shared" si="35"/>
        <v>100</v>
      </c>
      <c r="U65" s="46">
        <f t="shared" si="35"/>
        <v>100</v>
      </c>
      <c r="V65" s="46">
        <f t="shared" ref="V65:Y65" si="36">IF($N65=0,0,IF((O65/$N65*100)&gt;120,120,O65/$N65*100))</f>
        <v>25</v>
      </c>
      <c r="W65" s="46">
        <f t="shared" si="36"/>
        <v>50</v>
      </c>
      <c r="X65" s="46">
        <f t="shared" si="36"/>
        <v>75</v>
      </c>
      <c r="Y65" s="46">
        <f t="shared" si="36"/>
        <v>100</v>
      </c>
      <c r="Z65" s="2"/>
      <c r="AA65" s="3"/>
    </row>
    <row r="66" ht="14.25" customHeight="1">
      <c r="A66" s="1"/>
      <c r="B66" s="37"/>
      <c r="C66" s="39" t="s">
        <v>71</v>
      </c>
      <c r="D66" s="39"/>
      <c r="E66" s="39"/>
      <c r="F66" s="39"/>
      <c r="G66" s="39"/>
      <c r="H66" s="39"/>
      <c r="I66" s="103"/>
      <c r="J66" s="103" t="s">
        <v>35</v>
      </c>
      <c r="K66" s="106">
        <f>'Sub Koordinator Modif'!K60</f>
        <v>31.87772926</v>
      </c>
      <c r="L66" s="106">
        <f>'Sub Koordinator Modif'!L60</f>
        <v>64.19213974</v>
      </c>
      <c r="M66" s="106">
        <f>'Sub Koordinator Modif'!M60</f>
        <v>82.09606987</v>
      </c>
      <c r="N66" s="107">
        <f>'Sub Koordinator Modif'!N60</f>
        <v>100</v>
      </c>
      <c r="O66" s="108">
        <f>'Sub Koordinator Modif'!O60</f>
        <v>31.87772926</v>
      </c>
      <c r="P66" s="106">
        <f>'Sub Koordinator Modif'!P60</f>
        <v>64.19213974</v>
      </c>
      <c r="Q66" s="106">
        <f>'Sub Koordinator Modif'!Q60</f>
        <v>82.09606987</v>
      </c>
      <c r="R66" s="106">
        <f>'Sub Koordinator Modif'!R60</f>
        <v>100</v>
      </c>
      <c r="S66" s="46">
        <f t="shared" ref="S66:U66" si="37">IF(K66=0,0,IF((O66/K66*100)&gt;120,120,O66/K66*100))</f>
        <v>100</v>
      </c>
      <c r="T66" s="46">
        <f t="shared" si="37"/>
        <v>100</v>
      </c>
      <c r="U66" s="46">
        <f t="shared" si="37"/>
        <v>100</v>
      </c>
      <c r="V66" s="46">
        <f t="shared" ref="V66:Y66" si="38">IF($N66=0,0,IF((O66/$N66*100)&gt;120,120,O66/$N66*100))</f>
        <v>31.87772926</v>
      </c>
      <c r="W66" s="46">
        <f t="shared" si="38"/>
        <v>64.19213974</v>
      </c>
      <c r="X66" s="46">
        <f t="shared" si="38"/>
        <v>82.09606987</v>
      </c>
      <c r="Y66" s="46">
        <f t="shared" si="38"/>
        <v>100</v>
      </c>
      <c r="Z66" s="2"/>
      <c r="AA66" s="3"/>
    </row>
    <row r="67" ht="14.25" customHeight="1">
      <c r="A67" s="1"/>
      <c r="B67" s="37"/>
      <c r="C67" s="39"/>
      <c r="D67" s="109" t="s">
        <v>72</v>
      </c>
      <c r="E67" s="39"/>
      <c r="F67" s="39"/>
      <c r="G67" s="39"/>
      <c r="H67" s="39"/>
      <c r="I67" s="103"/>
      <c r="J67" s="110" t="s">
        <v>73</v>
      </c>
      <c r="K67" s="42">
        <v>0.0</v>
      </c>
      <c r="L67" s="42">
        <v>0.0</v>
      </c>
      <c r="M67" s="42">
        <v>0.0</v>
      </c>
      <c r="N67" s="42">
        <f>'Sub Koordinator Modif'!N61</f>
        <v>0</v>
      </c>
      <c r="O67" s="42">
        <v>0.0</v>
      </c>
      <c r="P67" s="42">
        <v>0.0</v>
      </c>
      <c r="Q67" s="42">
        <v>0.0</v>
      </c>
      <c r="R67" s="42">
        <f>'Sub Koordinator Modif'!R61</f>
        <v>0</v>
      </c>
      <c r="S67" s="111"/>
      <c r="T67" s="111"/>
      <c r="U67" s="111"/>
      <c r="V67" s="111"/>
      <c r="W67" s="111"/>
      <c r="X67" s="111"/>
      <c r="Y67" s="111"/>
      <c r="Z67" s="2"/>
      <c r="AA67" s="3"/>
    </row>
    <row r="68" ht="14.25" customHeight="1">
      <c r="A68" s="1"/>
      <c r="B68" s="37"/>
      <c r="C68" s="39"/>
      <c r="D68" s="109" t="s">
        <v>74</v>
      </c>
      <c r="E68" s="39"/>
      <c r="F68" s="39"/>
      <c r="G68" s="39"/>
      <c r="H68" s="39"/>
      <c r="I68" s="103"/>
      <c r="J68" s="110" t="s">
        <v>73</v>
      </c>
      <c r="K68" s="42">
        <v>0.0</v>
      </c>
      <c r="L68" s="42">
        <v>0.0</v>
      </c>
      <c r="M68" s="42">
        <v>0.0</v>
      </c>
      <c r="N68" s="42">
        <f>'Sub Koordinator Modif'!N62</f>
        <v>21</v>
      </c>
      <c r="O68" s="42">
        <v>0.0</v>
      </c>
      <c r="P68" s="42">
        <v>0.0</v>
      </c>
      <c r="Q68" s="42">
        <v>0.0</v>
      </c>
      <c r="R68" s="42">
        <f>'Sub Koordinator Modif'!R62</f>
        <v>21</v>
      </c>
      <c r="S68" s="111"/>
      <c r="T68" s="111"/>
      <c r="U68" s="111"/>
      <c r="V68" s="111"/>
      <c r="W68" s="111"/>
      <c r="X68" s="111"/>
      <c r="Y68" s="111"/>
      <c r="Z68" s="2"/>
      <c r="AA68" s="3"/>
    </row>
    <row r="69" ht="14.25" customHeight="1">
      <c r="A69" s="1"/>
      <c r="B69" s="37"/>
      <c r="C69" s="39"/>
      <c r="D69" s="109" t="s">
        <v>75</v>
      </c>
      <c r="E69" s="39"/>
      <c r="F69" s="39"/>
      <c r="G69" s="39"/>
      <c r="H69" s="39"/>
      <c r="I69" s="103"/>
      <c r="J69" s="110" t="s">
        <v>73</v>
      </c>
      <c r="K69" s="42">
        <v>0.0</v>
      </c>
      <c r="L69" s="42">
        <v>0.0</v>
      </c>
      <c r="M69" s="42">
        <v>0.0</v>
      </c>
      <c r="N69" s="42">
        <f>'Sub Koordinator Modif'!N63</f>
        <v>9</v>
      </c>
      <c r="O69" s="42">
        <v>0.0</v>
      </c>
      <c r="P69" s="42">
        <v>0.0</v>
      </c>
      <c r="Q69" s="42">
        <v>0.0</v>
      </c>
      <c r="R69" s="42">
        <f>'Sub Koordinator Modif'!R63</f>
        <v>9</v>
      </c>
      <c r="S69" s="111"/>
      <c r="T69" s="111"/>
      <c r="U69" s="111"/>
      <c r="V69" s="111"/>
      <c r="W69" s="111"/>
      <c r="X69" s="111"/>
      <c r="Y69" s="111"/>
      <c r="Z69" s="2"/>
      <c r="AA69" s="3"/>
    </row>
    <row r="70" ht="14.25" customHeight="1">
      <c r="A70" s="1"/>
      <c r="B70" s="37"/>
      <c r="C70" s="39"/>
      <c r="D70" s="109" t="s">
        <v>76</v>
      </c>
      <c r="E70" s="39"/>
      <c r="F70" s="39"/>
      <c r="G70" s="39"/>
      <c r="H70" s="39"/>
      <c r="I70" s="103"/>
      <c r="J70" s="110" t="s">
        <v>77</v>
      </c>
      <c r="K70" s="42">
        <v>0.0</v>
      </c>
      <c r="L70" s="42">
        <v>0.0</v>
      </c>
      <c r="M70" s="42">
        <v>0.0</v>
      </c>
      <c r="N70" s="42">
        <f>'Sub Koordinator Modif'!N64</f>
        <v>0</v>
      </c>
      <c r="O70" s="42">
        <v>0.0</v>
      </c>
      <c r="P70" s="42">
        <v>0.0</v>
      </c>
      <c r="Q70" s="42">
        <v>0.0</v>
      </c>
      <c r="R70" s="42">
        <f>'Sub Koordinator Modif'!R64</f>
        <v>0</v>
      </c>
      <c r="S70" s="111"/>
      <c r="T70" s="111"/>
      <c r="U70" s="111"/>
      <c r="V70" s="111"/>
      <c r="W70" s="111"/>
      <c r="X70" s="111"/>
      <c r="Y70" s="111"/>
      <c r="Z70" s="2"/>
      <c r="AA70" s="3"/>
    </row>
    <row r="71" ht="14.25" customHeight="1">
      <c r="A71" s="1"/>
      <c r="B71" s="37"/>
      <c r="C71" s="39"/>
      <c r="D71" s="109" t="s">
        <v>78</v>
      </c>
      <c r="E71" s="39"/>
      <c r="F71" s="39"/>
      <c r="G71" s="39"/>
      <c r="H71" s="39"/>
      <c r="I71" s="103"/>
      <c r="J71" s="110" t="s">
        <v>77</v>
      </c>
      <c r="K71" s="42">
        <v>0.0</v>
      </c>
      <c r="L71" s="42">
        <v>0.0</v>
      </c>
      <c r="M71" s="42">
        <v>0.0</v>
      </c>
      <c r="N71" s="42">
        <f>'Sub Koordinator Modif'!N65</f>
        <v>0</v>
      </c>
      <c r="O71" s="42">
        <v>0.0</v>
      </c>
      <c r="P71" s="42">
        <v>0.0</v>
      </c>
      <c r="Q71" s="42">
        <v>0.0</v>
      </c>
      <c r="R71" s="42">
        <f>'Sub Koordinator Modif'!R65</f>
        <v>0</v>
      </c>
      <c r="S71" s="111"/>
      <c r="T71" s="111"/>
      <c r="U71" s="111"/>
      <c r="V71" s="111"/>
      <c r="W71" s="111"/>
      <c r="X71" s="111"/>
      <c r="Y71" s="111"/>
      <c r="Z71" s="2"/>
      <c r="AA71" s="3"/>
    </row>
    <row r="72" ht="14.25" customHeight="1">
      <c r="A72" s="1"/>
      <c r="B72" s="37"/>
      <c r="C72" s="39"/>
      <c r="D72" s="109" t="s">
        <v>79</v>
      </c>
      <c r="E72" s="39"/>
      <c r="F72" s="39"/>
      <c r="G72" s="39"/>
      <c r="H72" s="39"/>
      <c r="I72" s="103"/>
      <c r="J72" s="110" t="s">
        <v>80</v>
      </c>
      <c r="K72" s="42">
        <v>73.0</v>
      </c>
      <c r="L72" s="42">
        <v>147.0</v>
      </c>
      <c r="M72" s="42">
        <v>188.0</v>
      </c>
      <c r="N72" s="42">
        <f>'Sub Koordinator Modif'!N66</f>
        <v>229</v>
      </c>
      <c r="O72" s="42">
        <v>73.0</v>
      </c>
      <c r="P72" s="42">
        <f>'Sub Koordinator Modif'!P66</f>
        <v>147</v>
      </c>
      <c r="Q72" s="42">
        <f>'Sub Koordinator Modif'!Q66</f>
        <v>188</v>
      </c>
      <c r="R72" s="42">
        <f>'Sub Koordinator Modif'!R66</f>
        <v>229</v>
      </c>
      <c r="S72" s="111"/>
      <c r="T72" s="111"/>
      <c r="U72" s="111"/>
      <c r="V72" s="111"/>
      <c r="W72" s="111"/>
      <c r="X72" s="111"/>
      <c r="Y72" s="111"/>
      <c r="Z72" s="2"/>
      <c r="AA72" s="3"/>
    </row>
    <row r="73" ht="14.25" customHeight="1">
      <c r="A73" s="1"/>
      <c r="B73" s="37"/>
      <c r="C73" s="39"/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2"/>
      <c r="AA73" s="3"/>
    </row>
    <row r="74" ht="14.25" customHeight="1">
      <c r="A74" s="1"/>
      <c r="B74" s="112"/>
      <c r="C74" s="113"/>
      <c r="D74" s="114"/>
      <c r="E74" s="114"/>
      <c r="F74" s="114"/>
      <c r="G74" s="115" t="s">
        <v>81</v>
      </c>
      <c r="H74" s="114"/>
      <c r="I74" s="114"/>
      <c r="J74" s="114"/>
      <c r="K74" s="116"/>
      <c r="L74" s="116"/>
      <c r="M74" s="116"/>
      <c r="N74" s="116"/>
      <c r="O74" s="116"/>
      <c r="P74" s="116"/>
      <c r="Q74" s="116"/>
      <c r="R74" s="116"/>
      <c r="S74" s="117">
        <f t="shared" ref="S74:U74" si="39">IF(SUM(K61:K66)&gt;0,SUM(S61:S66)/COUNTIF(K61:K66,"&gt;0"),0)</f>
        <v>100</v>
      </c>
      <c r="T74" s="117">
        <f t="shared" si="39"/>
        <v>99.325</v>
      </c>
      <c r="U74" s="117">
        <f t="shared" si="39"/>
        <v>98.36842105</v>
      </c>
      <c r="V74" s="117">
        <f t="shared" ref="V74:Y74" si="40">IF(SUM($N61:$N66)&gt;0,SUM(V61:V66)/COUNTIF($N61:$N66,"&gt;0"),0)</f>
        <v>22.44730862</v>
      </c>
      <c r="W74" s="117">
        <f t="shared" si="40"/>
        <v>42.22590084</v>
      </c>
      <c r="X74" s="117">
        <f t="shared" si="40"/>
        <v>67.00920892</v>
      </c>
      <c r="Y74" s="117">
        <f t="shared" si="40"/>
        <v>100.170068</v>
      </c>
      <c r="Z74" s="2"/>
      <c r="AA74" s="3"/>
    </row>
    <row r="75" ht="14.25" customHeight="1">
      <c r="A75" s="1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3"/>
    </row>
    <row r="76" ht="14.25" customHeight="1">
      <c r="A76" s="1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3"/>
    </row>
    <row r="77">
      <c r="A77" s="1"/>
      <c r="B77" s="4" t="s">
        <v>82</v>
      </c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6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2"/>
      <c r="AA77" s="3"/>
    </row>
    <row r="78" ht="24.75" customHeight="1">
      <c r="A78" s="1"/>
      <c r="B78" s="4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6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2"/>
      <c r="AA78" s="3"/>
    </row>
    <row r="79" ht="14.25" customHeight="1">
      <c r="A79" s="1"/>
      <c r="B79" s="118" t="s">
        <v>2</v>
      </c>
      <c r="C79" s="8"/>
      <c r="D79" s="8"/>
      <c r="E79" s="8"/>
      <c r="F79" s="8"/>
      <c r="G79" s="8"/>
      <c r="H79" s="119"/>
      <c r="I79" s="120" t="s">
        <v>83</v>
      </c>
      <c r="J79" s="121" t="s">
        <v>3</v>
      </c>
      <c r="K79" s="11"/>
      <c r="L79" s="11"/>
      <c r="M79" s="11"/>
      <c r="N79" s="11"/>
      <c r="O79" s="11"/>
      <c r="P79" s="11"/>
      <c r="Q79" s="11"/>
      <c r="R79" s="12"/>
      <c r="S79" s="121" t="s">
        <v>4</v>
      </c>
      <c r="T79" s="11"/>
      <c r="U79" s="11"/>
      <c r="V79" s="11"/>
      <c r="W79" s="11"/>
      <c r="X79" s="11"/>
      <c r="Y79" s="12"/>
      <c r="Z79" s="2"/>
      <c r="AA79" s="3"/>
    </row>
    <row r="80" ht="15.0" customHeight="1">
      <c r="A80" s="1"/>
      <c r="B80" s="13"/>
      <c r="H80" s="122"/>
      <c r="I80" s="123"/>
      <c r="J80" s="124" t="s">
        <v>5</v>
      </c>
      <c r="K80" s="125" t="s">
        <v>6</v>
      </c>
      <c r="L80" s="17"/>
      <c r="M80" s="17"/>
      <c r="N80" s="18"/>
      <c r="O80" s="125" t="s">
        <v>7</v>
      </c>
      <c r="P80" s="17"/>
      <c r="Q80" s="17"/>
      <c r="R80" s="18"/>
      <c r="S80" s="125" t="s">
        <v>8</v>
      </c>
      <c r="T80" s="17"/>
      <c r="U80" s="18"/>
      <c r="V80" s="125" t="s">
        <v>9</v>
      </c>
      <c r="W80" s="17"/>
      <c r="X80" s="17"/>
      <c r="Y80" s="18"/>
      <c r="Z80" s="2"/>
      <c r="AA80" s="3"/>
    </row>
    <row r="81" ht="14.25" customHeight="1">
      <c r="A81" s="1"/>
      <c r="B81" s="19"/>
      <c r="C81" s="20"/>
      <c r="D81" s="20"/>
      <c r="E81" s="20"/>
      <c r="F81" s="20"/>
      <c r="G81" s="20"/>
      <c r="H81" s="126"/>
      <c r="I81" s="22"/>
      <c r="J81" s="22"/>
      <c r="K81" s="127" t="s">
        <v>10</v>
      </c>
      <c r="L81" s="127" t="s">
        <v>11</v>
      </c>
      <c r="M81" s="127" t="s">
        <v>12</v>
      </c>
      <c r="N81" s="127" t="s">
        <v>13</v>
      </c>
      <c r="O81" s="127" t="s">
        <v>10</v>
      </c>
      <c r="P81" s="127" t="s">
        <v>11</v>
      </c>
      <c r="Q81" s="127" t="s">
        <v>12</v>
      </c>
      <c r="R81" s="127" t="s">
        <v>13</v>
      </c>
      <c r="S81" s="127" t="s">
        <v>10</v>
      </c>
      <c r="T81" s="127" t="s">
        <v>11</v>
      </c>
      <c r="U81" s="127" t="s">
        <v>12</v>
      </c>
      <c r="V81" s="127" t="s">
        <v>10</v>
      </c>
      <c r="W81" s="127" t="s">
        <v>11</v>
      </c>
      <c r="X81" s="127" t="s">
        <v>12</v>
      </c>
      <c r="Y81" s="128" t="s">
        <v>13</v>
      </c>
      <c r="Z81" s="25"/>
      <c r="AA81" s="3"/>
    </row>
    <row r="82" ht="14.25" customHeight="1">
      <c r="A82" s="1"/>
      <c r="B82" s="129">
        <v>-1.0</v>
      </c>
      <c r="C82" s="27"/>
      <c r="D82" s="27"/>
      <c r="E82" s="27"/>
      <c r="F82" s="27"/>
      <c r="G82" s="27"/>
      <c r="H82" s="130"/>
      <c r="I82" s="131">
        <v>-2.0</v>
      </c>
      <c r="J82" s="131">
        <v>-3.0</v>
      </c>
      <c r="K82" s="131">
        <v>-4.0</v>
      </c>
      <c r="L82" s="131">
        <v>-5.0</v>
      </c>
      <c r="M82" s="131">
        <v>-6.0</v>
      </c>
      <c r="N82" s="131">
        <v>-7.0</v>
      </c>
      <c r="O82" s="131">
        <v>-8.0</v>
      </c>
      <c r="P82" s="131">
        <v>-9.0</v>
      </c>
      <c r="Q82" s="131">
        <v>-10.0</v>
      </c>
      <c r="R82" s="131">
        <v>-11.0</v>
      </c>
      <c r="S82" s="131">
        <v>-12.0</v>
      </c>
      <c r="T82" s="131">
        <v>-13.0</v>
      </c>
      <c r="U82" s="131">
        <v>-14.0</v>
      </c>
      <c r="V82" s="131">
        <v>-15.0</v>
      </c>
      <c r="W82" s="131">
        <v>-16.0</v>
      </c>
      <c r="X82" s="131">
        <v>-17.0</v>
      </c>
      <c r="Y82" s="131">
        <v>-18.0</v>
      </c>
      <c r="Z82" s="25"/>
      <c r="AA82" s="3"/>
    </row>
    <row r="83" ht="14.25" customHeight="1">
      <c r="A83" s="1"/>
      <c r="B83" s="32"/>
      <c r="C83" s="33"/>
      <c r="D83" s="33"/>
      <c r="E83" s="33"/>
      <c r="F83" s="34"/>
      <c r="G83" s="35"/>
      <c r="H83" s="35"/>
      <c r="I83" s="35"/>
      <c r="J83" s="35"/>
      <c r="K83" s="35"/>
      <c r="L83" s="35"/>
      <c r="M83" s="35"/>
      <c r="N83" s="102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2"/>
      <c r="AA83" s="3"/>
    </row>
    <row r="84" ht="14.25" customHeight="1">
      <c r="A84" s="1"/>
      <c r="B84" s="37"/>
      <c r="C84" s="39" t="s">
        <v>84</v>
      </c>
      <c r="D84" s="39"/>
      <c r="E84" s="39"/>
      <c r="F84" s="39"/>
      <c r="G84" s="39"/>
      <c r="H84" s="39"/>
      <c r="I84" s="132">
        <f>'Sub Koordinator Modif'!I76+'Sub Koordinator Modif'!I102+'Sub Koordinator Modif'!I125</f>
        <v>18</v>
      </c>
      <c r="J84" s="133" t="s">
        <v>85</v>
      </c>
      <c r="K84" s="134">
        <f>'Sub Koordinator Modif'!K76+'Sub Koordinator Modif'!K102+'Sub Koordinator Modif'!K125</f>
        <v>3</v>
      </c>
      <c r="L84" s="134">
        <f>'Sub Koordinator Modif'!L76+'Sub Koordinator Modif'!L102+'Sub Koordinator Modif'!L125</f>
        <v>9</v>
      </c>
      <c r="M84" s="134">
        <f>'Sub Koordinator Modif'!M76+'Sub Koordinator Modif'!M102+'Sub Koordinator Modif'!M125</f>
        <v>12</v>
      </c>
      <c r="N84" s="134">
        <f>'Sub Koordinator Modif'!N76+'Sub Koordinator Modif'!N102+'Sub Koordinator Modif'!N125</f>
        <v>18</v>
      </c>
      <c r="O84" s="134">
        <f>'Sub Koordinator Modif'!O76+'Sub Koordinator Modif'!O102+'Sub Koordinator Modif'!O125</f>
        <v>3</v>
      </c>
      <c r="P84" s="135">
        <f t="shared" ref="P84:R84" si="41">SUM(P85:P86)</f>
        <v>9</v>
      </c>
      <c r="Q84" s="135">
        <f t="shared" si="41"/>
        <v>12</v>
      </c>
      <c r="R84" s="135">
        <f t="shared" si="41"/>
        <v>0</v>
      </c>
      <c r="S84" s="46">
        <f t="shared" ref="S84:U84" si="42">IF(K84=0,0,IF((O84/K84*100)&gt;120,120,O84/K84*100))</f>
        <v>100</v>
      </c>
      <c r="T84" s="46">
        <f t="shared" si="42"/>
        <v>100</v>
      </c>
      <c r="U84" s="46">
        <f t="shared" si="42"/>
        <v>100</v>
      </c>
      <c r="V84" s="46">
        <f t="shared" ref="V84:Y84" si="43">IF($N84=0,0,IF((O84/$N84*100)&gt;120,120,O84/$N84*100))</f>
        <v>16.66666667</v>
      </c>
      <c r="W84" s="46">
        <f t="shared" si="43"/>
        <v>50</v>
      </c>
      <c r="X84" s="46">
        <f t="shared" si="43"/>
        <v>66.66666667</v>
      </c>
      <c r="Y84" s="46">
        <f t="shared" si="43"/>
        <v>0</v>
      </c>
      <c r="Z84" s="2"/>
      <c r="AA84" s="3"/>
    </row>
    <row r="85" ht="14.25" customHeight="1">
      <c r="A85" s="1"/>
      <c r="B85" s="37"/>
      <c r="C85" s="39"/>
      <c r="D85" s="109" t="s">
        <v>86</v>
      </c>
      <c r="E85" s="39"/>
      <c r="F85" s="39"/>
      <c r="G85" s="39"/>
      <c r="H85" s="39"/>
      <c r="I85" s="132">
        <f>'Sub Koordinator Modif'!I77+'Sub Koordinator Modif'!I103+'Sub Koordinator Modif'!I126</f>
        <v>13</v>
      </c>
      <c r="J85" s="136" t="s">
        <v>87</v>
      </c>
      <c r="K85" s="42">
        <f>'Sub Koordinator Modif'!K77+'Sub Koordinator Modif'!K103+'Sub Koordinator Modif'!K126</f>
        <v>3</v>
      </c>
      <c r="L85" s="42">
        <f>'Sub Koordinator Modif'!L77+'Sub Koordinator Modif'!L103+'Sub Koordinator Modif'!L126</f>
        <v>7</v>
      </c>
      <c r="M85" s="42">
        <f>'Sub Koordinator Modif'!M77+'Sub Koordinator Modif'!M103+'Sub Koordinator Modif'!M126</f>
        <v>10</v>
      </c>
      <c r="N85" s="42">
        <f>'Sub Koordinator Modif'!N77+'Sub Koordinator Modif'!N103+'Sub Koordinator Modif'!N126</f>
        <v>13</v>
      </c>
      <c r="O85" s="42">
        <f>'Sub Koordinator Modif'!O77+'Sub Koordinator Modif'!O103+'Sub Koordinator Modif'!O126</f>
        <v>3</v>
      </c>
      <c r="P85" s="42">
        <f>'Sub Koordinator Modif'!P77+'Sub Koordinator Modif'!P103+'Sub Koordinator Modif'!P126</f>
        <v>7</v>
      </c>
      <c r="Q85" s="42">
        <f>'Sub Koordinator Modif'!Q77+'Sub Koordinator Modif'!Q103+'Sub Koordinator Modif'!Q126</f>
        <v>10</v>
      </c>
      <c r="R85" s="42">
        <f>'Sub Koordinator Modif'!R77+'Sub Koordinator Modif'!R103+'Sub Koordinator Modif'!R126</f>
        <v>0</v>
      </c>
      <c r="S85" s="111"/>
      <c r="T85" s="111"/>
      <c r="U85" s="111"/>
      <c r="V85" s="111"/>
      <c r="W85" s="111"/>
      <c r="X85" s="111"/>
      <c r="Y85" s="111"/>
      <c r="Z85" s="2"/>
      <c r="AA85" s="3"/>
    </row>
    <row r="86" ht="14.25" customHeight="1">
      <c r="A86" s="1"/>
      <c r="B86" s="37"/>
      <c r="C86" s="39"/>
      <c r="D86" s="109" t="s">
        <v>88</v>
      </c>
      <c r="E86" s="39"/>
      <c r="F86" s="39"/>
      <c r="G86" s="39"/>
      <c r="H86" s="39"/>
      <c r="I86" s="132">
        <f>'Sub Koordinator Modif'!I78+'Sub Koordinator Modif'!I104+'Sub Koordinator Modif'!I127</f>
        <v>5</v>
      </c>
      <c r="J86" s="136" t="s">
        <v>66</v>
      </c>
      <c r="K86" s="42">
        <f>'Sub Koordinator Modif'!K78+'Sub Koordinator Modif'!K104+'Sub Koordinator Modif'!K127</f>
        <v>0</v>
      </c>
      <c r="L86" s="42">
        <f>'Sub Koordinator Modif'!L78+'Sub Koordinator Modif'!L104+'Sub Koordinator Modif'!L127</f>
        <v>2</v>
      </c>
      <c r="M86" s="42">
        <f>'Sub Koordinator Modif'!M78+'Sub Koordinator Modif'!M104+'Sub Koordinator Modif'!M127</f>
        <v>2</v>
      </c>
      <c r="N86" s="42">
        <f>'Sub Koordinator Modif'!N78+'Sub Koordinator Modif'!N104+'Sub Koordinator Modif'!N127</f>
        <v>5</v>
      </c>
      <c r="O86" s="42">
        <f>'Sub Koordinator Modif'!O78+'Sub Koordinator Modif'!O104+'Sub Koordinator Modif'!O127</f>
        <v>0</v>
      </c>
      <c r="P86" s="42">
        <f>'Sub Koordinator Modif'!P78+'Sub Koordinator Modif'!P104+'Sub Koordinator Modif'!P127</f>
        <v>2</v>
      </c>
      <c r="Q86" s="42">
        <f>'Sub Koordinator Modif'!Q78+'Sub Koordinator Modif'!Q104+'Sub Koordinator Modif'!Q127</f>
        <v>2</v>
      </c>
      <c r="R86" s="42">
        <f>'Sub Koordinator Modif'!R78+'Sub Koordinator Modif'!R104+'Sub Koordinator Modif'!R127</f>
        <v>0</v>
      </c>
      <c r="S86" s="111"/>
      <c r="T86" s="111"/>
      <c r="U86" s="111"/>
      <c r="V86" s="111"/>
      <c r="W86" s="111"/>
      <c r="X86" s="111"/>
      <c r="Y86" s="111"/>
      <c r="Z86" s="2"/>
      <c r="AA86" s="3"/>
    </row>
    <row r="87" ht="14.25" customHeight="1">
      <c r="A87" s="1"/>
      <c r="B87" s="37"/>
      <c r="C87" s="39" t="s">
        <v>89</v>
      </c>
      <c r="D87" s="39"/>
      <c r="E87" s="39"/>
      <c r="F87" s="39"/>
      <c r="G87" s="39"/>
      <c r="H87" s="39"/>
      <c r="I87" s="132">
        <f>'Sub Koordinator Modif'!I79+'Sub Koordinator Modif'!I105+'Sub Koordinator Modif'!I128</f>
        <v>18</v>
      </c>
      <c r="J87" s="133" t="s">
        <v>85</v>
      </c>
      <c r="K87" s="134">
        <f>'Sub Koordinator Modif'!K79+'Sub Koordinator Modif'!K105+'Sub Koordinator Modif'!K128</f>
        <v>3</v>
      </c>
      <c r="L87" s="134">
        <f>'Sub Koordinator Modif'!L79+'Sub Koordinator Modif'!L105+'Sub Koordinator Modif'!L128</f>
        <v>9</v>
      </c>
      <c r="M87" s="134">
        <f>'Sub Koordinator Modif'!M79+'Sub Koordinator Modif'!M105+'Sub Koordinator Modif'!M128</f>
        <v>12</v>
      </c>
      <c r="N87" s="134">
        <f>'Sub Koordinator Modif'!N79+'Sub Koordinator Modif'!N105+'Sub Koordinator Modif'!N128</f>
        <v>18</v>
      </c>
      <c r="O87" s="134">
        <f>'Sub Koordinator Modif'!O79+'Sub Koordinator Modif'!O105+'Sub Koordinator Modif'!O128</f>
        <v>3</v>
      </c>
      <c r="P87" s="135">
        <f t="shared" ref="P87:R87" si="44">SUM(P88:P89)</f>
        <v>9</v>
      </c>
      <c r="Q87" s="135">
        <f t="shared" si="44"/>
        <v>12</v>
      </c>
      <c r="R87" s="135">
        <f t="shared" si="44"/>
        <v>0</v>
      </c>
      <c r="S87" s="46">
        <f t="shared" ref="S87:U87" si="45">IF(K87=0,0,IF((O87/K87*100)&gt;120,120,O87/K87*100))</f>
        <v>100</v>
      </c>
      <c r="T87" s="46">
        <f t="shared" si="45"/>
        <v>100</v>
      </c>
      <c r="U87" s="46">
        <f t="shared" si="45"/>
        <v>100</v>
      </c>
      <c r="V87" s="46">
        <f t="shared" ref="V87:Y87" si="46">IF($N87=0,0,IF((O87/$N87*100)&gt;120,120,O87/$N87*100))</f>
        <v>16.66666667</v>
      </c>
      <c r="W87" s="46">
        <f t="shared" si="46"/>
        <v>50</v>
      </c>
      <c r="X87" s="46">
        <f t="shared" si="46"/>
        <v>66.66666667</v>
      </c>
      <c r="Y87" s="46">
        <f t="shared" si="46"/>
        <v>0</v>
      </c>
      <c r="Z87" s="2"/>
      <c r="AA87" s="3"/>
    </row>
    <row r="88" ht="14.25" customHeight="1">
      <c r="A88" s="1"/>
      <c r="B88" s="37"/>
      <c r="C88" s="39"/>
      <c r="D88" s="109" t="s">
        <v>90</v>
      </c>
      <c r="E88" s="39"/>
      <c r="F88" s="39"/>
      <c r="G88" s="39"/>
      <c r="H88" s="39"/>
      <c r="I88" s="132">
        <f>'Sub Koordinator Modif'!I80+'Sub Koordinator Modif'!I106+'Sub Koordinator Modif'!I129</f>
        <v>13</v>
      </c>
      <c r="J88" s="136" t="s">
        <v>87</v>
      </c>
      <c r="K88" s="42">
        <f>'Sub Koordinator Modif'!K80+'Sub Koordinator Modif'!K106+'Sub Koordinator Modif'!K129</f>
        <v>3</v>
      </c>
      <c r="L88" s="42">
        <f>'Sub Koordinator Modif'!L80+'Sub Koordinator Modif'!L106+'Sub Koordinator Modif'!L129</f>
        <v>7</v>
      </c>
      <c r="M88" s="42">
        <f>'Sub Koordinator Modif'!M80+'Sub Koordinator Modif'!M106+'Sub Koordinator Modif'!M129</f>
        <v>10</v>
      </c>
      <c r="N88" s="42">
        <f>'Sub Koordinator Modif'!N80+'Sub Koordinator Modif'!N106+'Sub Koordinator Modif'!N129</f>
        <v>13</v>
      </c>
      <c r="O88" s="42">
        <f>'Sub Koordinator Modif'!O80+'Sub Koordinator Modif'!O106+'Sub Koordinator Modif'!O129</f>
        <v>3</v>
      </c>
      <c r="P88" s="42">
        <f>'Sub Koordinator Modif'!P80+'Sub Koordinator Modif'!P106+'Sub Koordinator Modif'!P129</f>
        <v>7</v>
      </c>
      <c r="Q88" s="42">
        <f>'Sub Koordinator Modif'!Q80+'Sub Koordinator Modif'!Q106+'Sub Koordinator Modif'!Q129</f>
        <v>10</v>
      </c>
      <c r="R88" s="42">
        <f>'Sub Koordinator Modif'!R80+'Sub Koordinator Modif'!R106+'Sub Koordinator Modif'!R129</f>
        <v>0</v>
      </c>
      <c r="S88" s="111"/>
      <c r="T88" s="111"/>
      <c r="U88" s="111"/>
      <c r="V88" s="111"/>
      <c r="W88" s="111"/>
      <c r="X88" s="111"/>
      <c r="Y88" s="111"/>
      <c r="Z88" s="2"/>
      <c r="AA88" s="3"/>
    </row>
    <row r="89" ht="14.25" customHeight="1">
      <c r="A89" s="1"/>
      <c r="B89" s="37"/>
      <c r="C89" s="39"/>
      <c r="D89" s="109" t="s">
        <v>91</v>
      </c>
      <c r="E89" s="39"/>
      <c r="F89" s="39"/>
      <c r="G89" s="39"/>
      <c r="H89" s="39"/>
      <c r="I89" s="132">
        <f>'Sub Koordinator Modif'!I81+'Sub Koordinator Modif'!I107+'Sub Koordinator Modif'!I130</f>
        <v>5</v>
      </c>
      <c r="J89" s="136" t="s">
        <v>66</v>
      </c>
      <c r="K89" s="42">
        <f>'Sub Koordinator Modif'!K81+'Sub Koordinator Modif'!K107+'Sub Koordinator Modif'!K130</f>
        <v>0</v>
      </c>
      <c r="L89" s="42">
        <f>'Sub Koordinator Modif'!L81+'Sub Koordinator Modif'!L107+'Sub Koordinator Modif'!L130</f>
        <v>2</v>
      </c>
      <c r="M89" s="42">
        <f>'Sub Koordinator Modif'!M81+'Sub Koordinator Modif'!M107+'Sub Koordinator Modif'!M130</f>
        <v>2</v>
      </c>
      <c r="N89" s="42">
        <f>'Sub Koordinator Modif'!N81+'Sub Koordinator Modif'!N107+'Sub Koordinator Modif'!N130</f>
        <v>5</v>
      </c>
      <c r="O89" s="42">
        <f>'Sub Koordinator Modif'!O81+'Sub Koordinator Modif'!O107+'Sub Koordinator Modif'!O130</f>
        <v>0</v>
      </c>
      <c r="P89" s="42">
        <f>'Sub Koordinator Modif'!P81+'Sub Koordinator Modif'!P107+'Sub Koordinator Modif'!P130</f>
        <v>2</v>
      </c>
      <c r="Q89" s="42">
        <f>'Sub Koordinator Modif'!Q81+'Sub Koordinator Modif'!Q107+'Sub Koordinator Modif'!Q130</f>
        <v>2</v>
      </c>
      <c r="R89" s="42">
        <f>'Sub Koordinator Modif'!R81+'Sub Koordinator Modif'!R107+'Sub Koordinator Modif'!R130</f>
        <v>0</v>
      </c>
      <c r="S89" s="111"/>
      <c r="T89" s="111"/>
      <c r="U89" s="111"/>
      <c r="V89" s="111"/>
      <c r="W89" s="111"/>
      <c r="X89" s="111"/>
      <c r="Y89" s="111"/>
      <c r="Z89" s="2"/>
      <c r="AA89" s="3"/>
    </row>
    <row r="90" ht="14.25" customHeight="1">
      <c r="A90" s="1"/>
      <c r="B90" s="37"/>
      <c r="C90" s="39" t="s">
        <v>92</v>
      </c>
      <c r="D90" s="39"/>
      <c r="E90" s="39"/>
      <c r="F90" s="39"/>
      <c r="G90" s="39"/>
      <c r="H90" s="39"/>
      <c r="I90" s="132">
        <f>'Sub Koordinator Modif'!I82</f>
        <v>2</v>
      </c>
      <c r="J90" s="133" t="s">
        <v>85</v>
      </c>
      <c r="K90" s="42">
        <f>'Sub Koordinator Modif'!K82</f>
        <v>0</v>
      </c>
      <c r="L90" s="42">
        <f>'Sub Koordinator Modif'!L82</f>
        <v>1</v>
      </c>
      <c r="M90" s="42">
        <f>'Sub Koordinator Modif'!M82</f>
        <v>1</v>
      </c>
      <c r="N90" s="42">
        <f>'Sub Koordinator Modif'!N82</f>
        <v>2</v>
      </c>
      <c r="O90" s="42">
        <f>'Sub Koordinator Modif'!O82</f>
        <v>0</v>
      </c>
      <c r="P90" s="42">
        <f>'Sub Koordinator Modif'!P82</f>
        <v>1</v>
      </c>
      <c r="Q90" s="42">
        <f>'Sub Koordinator Modif'!Q82</f>
        <v>1</v>
      </c>
      <c r="R90" s="42" t="str">
        <f>'Sub Koordinator Modif'!R82</f>
        <v/>
      </c>
      <c r="S90" s="46">
        <f t="shared" ref="S90:U90" si="47">IF(K90=0,0,IF((O90/K90*100)&gt;120,120,O90/K90*100))</f>
        <v>0</v>
      </c>
      <c r="T90" s="46">
        <f t="shared" si="47"/>
        <v>100</v>
      </c>
      <c r="U90" s="46">
        <f t="shared" si="47"/>
        <v>100</v>
      </c>
      <c r="V90" s="46">
        <f t="shared" ref="V90:Y90" si="48">IF($N90=0,0,IF((O90/$N90*100)&gt;120,120,O90/$N90*100))</f>
        <v>0</v>
      </c>
      <c r="W90" s="46">
        <f t="shared" si="48"/>
        <v>50</v>
      </c>
      <c r="X90" s="46">
        <f t="shared" si="48"/>
        <v>50</v>
      </c>
      <c r="Y90" s="46">
        <f t="shared" si="48"/>
        <v>0</v>
      </c>
      <c r="Z90" s="2"/>
      <c r="AA90" s="3"/>
    </row>
    <row r="91" ht="16.5" customHeight="1">
      <c r="A91" s="1"/>
      <c r="B91" s="37"/>
      <c r="C91" s="39" t="s">
        <v>93</v>
      </c>
      <c r="D91" s="39"/>
      <c r="E91" s="39"/>
      <c r="F91" s="39"/>
      <c r="G91" s="39"/>
      <c r="H91" s="39"/>
      <c r="I91" s="132">
        <f>'Sub Koordinator Modif'!I83+'Sub Koordinator Modif'!I108+'Sub Koordinator Modif'!I131</f>
        <v>13</v>
      </c>
      <c r="J91" s="133" t="s">
        <v>87</v>
      </c>
      <c r="K91" s="42">
        <f>'Sub Koordinator Modif'!K83+'Sub Koordinator Modif'!K108+'Sub Koordinator Modif'!K131</f>
        <v>3</v>
      </c>
      <c r="L91" s="42">
        <f>'Sub Koordinator Modif'!L83+'Sub Koordinator Modif'!L108+'Sub Koordinator Modif'!L131</f>
        <v>9</v>
      </c>
      <c r="M91" s="42">
        <f>'Sub Koordinator Modif'!M83+'Sub Koordinator Modif'!M108+'Sub Koordinator Modif'!M131</f>
        <v>13</v>
      </c>
      <c r="N91" s="42">
        <f>'Sub Koordinator Modif'!N83+'Sub Koordinator Modif'!N108+'Sub Koordinator Modif'!N131</f>
        <v>18</v>
      </c>
      <c r="O91" s="42">
        <f>'Sub Koordinator Modif'!O83+'Sub Koordinator Modif'!O108+'Sub Koordinator Modif'!O131</f>
        <v>3</v>
      </c>
      <c r="P91" s="42">
        <f>'Sub Koordinator Modif'!P83+'Sub Koordinator Modif'!P108+'Sub Koordinator Modif'!P131</f>
        <v>10</v>
      </c>
      <c r="Q91" s="42">
        <f>'Sub Koordinator Modif'!Q83+'Sub Koordinator Modif'!Q108+'Sub Koordinator Modif'!Q131</f>
        <v>14</v>
      </c>
      <c r="R91" s="42">
        <f>'Sub Koordinator Modif'!R83+'Sub Koordinator Modif'!R108+'Sub Koordinator Modif'!R131</f>
        <v>0</v>
      </c>
      <c r="S91" s="46">
        <f t="shared" ref="S91:U91" si="49">IF(K91=0,0,IF((O91/K91*100)&gt;120,120,O91/K91*100))</f>
        <v>100</v>
      </c>
      <c r="T91" s="46">
        <f t="shared" si="49"/>
        <v>111.1111111</v>
      </c>
      <c r="U91" s="46">
        <f t="shared" si="49"/>
        <v>107.6923077</v>
      </c>
      <c r="V91" s="46">
        <f t="shared" ref="V91:Y91" si="50">IF($N91=0,0,IF((O91/$N91*100)&gt;120,120,O91/$N91*100))</f>
        <v>16.66666667</v>
      </c>
      <c r="W91" s="46">
        <f t="shared" si="50"/>
        <v>55.55555556</v>
      </c>
      <c r="X91" s="46">
        <f t="shared" si="50"/>
        <v>77.77777778</v>
      </c>
      <c r="Y91" s="46">
        <f t="shared" si="50"/>
        <v>0</v>
      </c>
      <c r="Z91" s="2"/>
      <c r="AA91" s="3"/>
    </row>
    <row r="92" ht="14.25" customHeight="1">
      <c r="A92" s="1"/>
      <c r="B92" s="37"/>
      <c r="C92" s="39" t="s">
        <v>94</v>
      </c>
      <c r="D92" s="39"/>
      <c r="E92" s="39"/>
      <c r="F92" s="39"/>
      <c r="G92" s="39"/>
      <c r="H92" s="39"/>
      <c r="I92" s="132">
        <f>'Sub Koordinator Modif'!I84+'Sub Koordinator Modif'!I109+'Sub Koordinator Modif'!I132</f>
        <v>6</v>
      </c>
      <c r="J92" s="133" t="s">
        <v>95</v>
      </c>
      <c r="K92" s="42">
        <f>'Sub Koordinator Modif'!K84+'Sub Koordinator Modif'!K109+'Sub Koordinator Modif'!K132</f>
        <v>2</v>
      </c>
      <c r="L92" s="42">
        <f>'Sub Koordinator Modif'!L84+'Sub Koordinator Modif'!L109+'Sub Koordinator Modif'!L132</f>
        <v>3</v>
      </c>
      <c r="M92" s="42">
        <f>'Sub Koordinator Modif'!M84+'Sub Koordinator Modif'!M109+'Sub Koordinator Modif'!M132</f>
        <v>5</v>
      </c>
      <c r="N92" s="42">
        <f>'Sub Koordinator Modif'!N84+'Sub Koordinator Modif'!N109+'Sub Koordinator Modif'!N132</f>
        <v>6</v>
      </c>
      <c r="O92" s="42">
        <f>'Sub Koordinator Modif'!O84+'Sub Koordinator Modif'!O109+'Sub Koordinator Modif'!O132</f>
        <v>2</v>
      </c>
      <c r="P92" s="42">
        <f>'Sub Koordinator Modif'!P84+'Sub Koordinator Modif'!P109+'Sub Koordinator Modif'!P132</f>
        <v>3</v>
      </c>
      <c r="Q92" s="42">
        <f>'Sub Koordinator Modif'!Q84+'Sub Koordinator Modif'!Q109+'Sub Koordinator Modif'!Q132</f>
        <v>5</v>
      </c>
      <c r="R92" s="42">
        <f>'Sub Koordinator Modif'!R84+'Sub Koordinator Modif'!R109+'Sub Koordinator Modif'!R132</f>
        <v>0</v>
      </c>
      <c r="S92" s="46">
        <f t="shared" ref="S92:U92" si="51">IF(K92=0,0,IF((O92/K92*100)&gt;120,120,O92/K92*100))</f>
        <v>100</v>
      </c>
      <c r="T92" s="46">
        <f t="shared" si="51"/>
        <v>100</v>
      </c>
      <c r="U92" s="46">
        <f t="shared" si="51"/>
        <v>100</v>
      </c>
      <c r="V92" s="46">
        <f t="shared" ref="V92:Y92" si="52">IF($N92=0,0,IF((O92/$N92*100)&gt;120,120,O92/$N92*100))</f>
        <v>33.33333333</v>
      </c>
      <c r="W92" s="46">
        <f t="shared" si="52"/>
        <v>50</v>
      </c>
      <c r="X92" s="46">
        <f t="shared" si="52"/>
        <v>83.33333333</v>
      </c>
      <c r="Y92" s="46">
        <f t="shared" si="52"/>
        <v>0</v>
      </c>
      <c r="Z92" s="2"/>
      <c r="AA92" s="3"/>
    </row>
    <row r="93" ht="14.25" customHeight="1">
      <c r="A93" s="1"/>
      <c r="B93" s="37"/>
      <c r="C93" s="39" t="s">
        <v>96</v>
      </c>
      <c r="D93" s="39"/>
      <c r="E93" s="39"/>
      <c r="F93" s="41"/>
      <c r="G93" s="39"/>
      <c r="H93" s="39"/>
      <c r="I93" s="137">
        <f>('Sub Koordinator Modif'!I85+'Sub Koordinator Modif'!I110+'Sub Koordinator Modif'!I133)/3</f>
        <v>100</v>
      </c>
      <c r="J93" s="133" t="s">
        <v>35</v>
      </c>
      <c r="K93" s="138">
        <f t="shared" ref="K93:N93" si="53">(K94+K96)/($I94+$I96)*100</f>
        <v>1.572911982</v>
      </c>
      <c r="L93" s="138">
        <f t="shared" si="53"/>
        <v>87.6660807</v>
      </c>
      <c r="M93" s="138">
        <f t="shared" si="53"/>
        <v>93.96181677</v>
      </c>
      <c r="N93" s="138">
        <f t="shared" si="53"/>
        <v>95.54086096</v>
      </c>
      <c r="O93" s="138">
        <f>(O94+O96)/(I94+I96)*100</f>
        <v>1.587220473</v>
      </c>
      <c r="P93" s="139">
        <f>(P94+P96)/(I94+I96)*100</f>
        <v>91.45783083</v>
      </c>
      <c r="Q93" s="139">
        <f>(Q94+Q96)/(I94+I96)*100</f>
        <v>97.80569069</v>
      </c>
      <c r="R93" s="139">
        <f>IF(SUM($I94:$I96)=0,0,SUM(IF($I94&gt;0,R94/$I94*100,0),IF($I95&gt;0,R95/$I95*100,0),IF($I96&gt;0,R96/$I96*100,0))/COUNTIF($I94:$I96,"&gt;0"))</f>
        <v>0</v>
      </c>
      <c r="S93" s="46">
        <f t="shared" ref="S93:U93" si="54">IF(K93=0,0,IF((O93/K93*100)&gt;120,120,O93/K93*100))</f>
        <v>100.9096816</v>
      </c>
      <c r="T93" s="46">
        <f t="shared" si="54"/>
        <v>104.3252192</v>
      </c>
      <c r="U93" s="46">
        <f t="shared" si="54"/>
        <v>104.0908893</v>
      </c>
      <c r="V93" s="46">
        <f t="shared" ref="V93:Y93" si="55">IF($N93=0,0,IF((O93/$N93*100)&gt;120,120,O93/$N93*100))</f>
        <v>1.661300157</v>
      </c>
      <c r="W93" s="46">
        <f t="shared" si="55"/>
        <v>95.7264043</v>
      </c>
      <c r="X93" s="46">
        <f t="shared" si="55"/>
        <v>102.3705352</v>
      </c>
      <c r="Y93" s="46">
        <f t="shared" si="55"/>
        <v>0</v>
      </c>
      <c r="Z93" s="2"/>
      <c r="AA93" s="3"/>
    </row>
    <row r="94" ht="14.25" customHeight="1">
      <c r="A94" s="1"/>
      <c r="B94" s="37"/>
      <c r="C94" s="39"/>
      <c r="D94" s="109" t="s">
        <v>97</v>
      </c>
      <c r="E94" s="39"/>
      <c r="F94" s="41"/>
      <c r="G94" s="39"/>
      <c r="H94" s="39"/>
      <c r="I94" s="140">
        <f>'Sub Koordinator Modif'!I86+'Sub Koordinator Modif'!I111+'Sub Koordinator Modif'!I134</f>
        <v>97823</v>
      </c>
      <c r="J94" s="136" t="s">
        <v>98</v>
      </c>
      <c r="K94" s="105">
        <f>'Sub Koordinator Modif'!K86+'Sub Koordinator Modif'!K111+'Sub Koordinator Modif'!K134</f>
        <v>1539</v>
      </c>
      <c r="L94" s="105">
        <f>'Sub Koordinator Modif'!L86+'Sub Koordinator Modif'!L111+'Sub Koordinator Modif'!L134</f>
        <v>85767</v>
      </c>
      <c r="M94" s="105">
        <f>'Sub Koordinator Modif'!M86+'Sub Koordinator Modif'!M111+'Sub Koordinator Modif'!M134</f>
        <v>91921</v>
      </c>
      <c r="N94" s="105">
        <f>'Sub Koordinator Modif'!N86+'Sub Koordinator Modif'!N111+'Sub Koordinator Modif'!N134</f>
        <v>93460</v>
      </c>
      <c r="O94" s="105">
        <f>'Sub Koordinator Modif'!O86+'Sub Koordinator Modif'!O111+'Sub Koordinator Modif'!O134</f>
        <v>1553</v>
      </c>
      <c r="P94" s="105">
        <f>'Sub Koordinator Modif'!P86+'Sub Koordinator Modif'!P111+'Sub Koordinator Modif'!P134</f>
        <v>89477</v>
      </c>
      <c r="Q94" s="105">
        <f>'Sub Koordinator Modif'!Q86+'Sub Koordinator Modif'!Q111+'Sub Koordinator Modif'!Q134</f>
        <v>95682</v>
      </c>
      <c r="R94" s="105">
        <f>'Sub Koordinator Modif'!R86+'Sub Koordinator Modif'!R111+'Sub Koordinator Modif'!R134</f>
        <v>0</v>
      </c>
      <c r="S94" s="111"/>
      <c r="T94" s="111"/>
      <c r="U94" s="111"/>
      <c r="V94" s="111"/>
      <c r="W94" s="111"/>
      <c r="X94" s="111"/>
      <c r="Y94" s="111"/>
      <c r="Z94" s="2"/>
      <c r="AA94" s="3"/>
    </row>
    <row r="95" ht="14.25" customHeight="1">
      <c r="A95" s="1"/>
      <c r="B95" s="37"/>
      <c r="C95" s="39"/>
      <c r="D95" s="109" t="s">
        <v>99</v>
      </c>
      <c r="E95" s="39"/>
      <c r="F95" s="41"/>
      <c r="G95" s="39"/>
      <c r="H95" s="39"/>
      <c r="I95" s="141">
        <v>0.0</v>
      </c>
      <c r="J95" s="136" t="s">
        <v>98</v>
      </c>
      <c r="K95" s="42">
        <v>0.0</v>
      </c>
      <c r="L95" s="42">
        <v>0.0</v>
      </c>
      <c r="M95" s="42">
        <v>0.0</v>
      </c>
      <c r="N95" s="42">
        <v>0.0</v>
      </c>
      <c r="O95" s="42">
        <v>0.0</v>
      </c>
      <c r="P95" s="42">
        <v>0.0</v>
      </c>
      <c r="Q95" s="42">
        <v>0.0</v>
      </c>
      <c r="R95" s="42">
        <v>0.0</v>
      </c>
      <c r="S95" s="111"/>
      <c r="T95" s="111"/>
      <c r="U95" s="111"/>
      <c r="V95" s="111"/>
      <c r="W95" s="111"/>
      <c r="X95" s="111"/>
      <c r="Y95" s="111"/>
      <c r="Z95" s="2"/>
      <c r="AA95" s="3"/>
    </row>
    <row r="96" ht="14.25" customHeight="1">
      <c r="A96" s="1"/>
      <c r="B96" s="37"/>
      <c r="C96" s="39"/>
      <c r="D96" s="109" t="s">
        <v>100</v>
      </c>
      <c r="E96" s="39"/>
      <c r="F96" s="41"/>
      <c r="G96" s="39"/>
      <c r="H96" s="39"/>
      <c r="I96" s="141">
        <f>'Sub Koordinator Modif'!I137</f>
        <v>21</v>
      </c>
      <c r="J96" s="136" t="s">
        <v>98</v>
      </c>
      <c r="K96" s="42">
        <f>'Sub Koordinator Modif'!K137</f>
        <v>0</v>
      </c>
      <c r="L96" s="42">
        <f>'Sub Koordinator Modif'!L137</f>
        <v>9</v>
      </c>
      <c r="M96" s="42">
        <f>'Sub Koordinator Modif'!M137</f>
        <v>15</v>
      </c>
      <c r="N96" s="42">
        <f>'Sub Koordinator Modif'!N137</f>
        <v>21</v>
      </c>
      <c r="O96" s="42">
        <f>'Sub Koordinator Modif'!O137</f>
        <v>0</v>
      </c>
      <c r="P96" s="42">
        <f>'Sub Koordinator Modif'!P137</f>
        <v>9</v>
      </c>
      <c r="Q96" s="42">
        <f>'Sub Koordinator Modif'!Q137</f>
        <v>15</v>
      </c>
      <c r="R96" s="42" t="str">
        <f>'Sub Koordinator Modif'!R137</f>
        <v/>
      </c>
      <c r="S96" s="111"/>
      <c r="T96" s="111"/>
      <c r="U96" s="111"/>
      <c r="V96" s="111"/>
      <c r="W96" s="111"/>
      <c r="X96" s="111"/>
      <c r="Y96" s="111"/>
      <c r="Z96" s="2"/>
      <c r="AA96" s="3"/>
    </row>
    <row r="97" ht="14.25" customHeight="1">
      <c r="A97" s="1"/>
      <c r="B97" s="37"/>
      <c r="C97" s="39" t="s">
        <v>101</v>
      </c>
      <c r="D97" s="39"/>
      <c r="E97" s="39"/>
      <c r="F97" s="41"/>
      <c r="G97" s="39"/>
      <c r="H97" s="39"/>
      <c r="I97" s="142">
        <f>('Sub Koordinator Modif'!I91+'Sub Koordinator Modif'!I114+'Sub Koordinator Modif'!I142)/3</f>
        <v>100</v>
      </c>
      <c r="J97" s="133" t="s">
        <v>35</v>
      </c>
      <c r="K97" s="143">
        <f>('Sub Koordinator Modif'!K91+'Sub Koordinator Modif'!K114+'Sub Koordinator Modif'!K142)/3</f>
        <v>0.5753507621</v>
      </c>
      <c r="L97" s="143">
        <f>('Sub Koordinator Modif'!L91+'Sub Koordinator Modif'!L114+'Sub Koordinator Modif'!L142)/3</f>
        <v>87.16689914</v>
      </c>
      <c r="M97" s="143">
        <f>('Sub Koordinator Modif'!M91+'Sub Koordinator Modif'!M114+'Sub Koordinator Modif'!M142)/3</f>
        <v>90.88599421</v>
      </c>
      <c r="N97" s="143">
        <f>('Sub Koordinator Modif'!N91+'Sub Koordinator Modif'!N114+'Sub Koordinator Modif'!N142)/3</f>
        <v>100</v>
      </c>
      <c r="O97" s="143">
        <f>('Sub Koordinator Modif'!O91+'Sub Koordinator Modif'!O114+'Sub Koordinator Modif'!O142)/3</f>
        <v>0.5805846222</v>
      </c>
      <c r="P97" s="143">
        <f>('Sub Koordinator Modif'!P91+'Sub Koordinator Modif'!P114+'Sub Koordinator Modif'!P142)/3</f>
        <v>88.54751666</v>
      </c>
      <c r="Q97" s="143">
        <f>('Sub Koordinator Modif'!Q91+'Sub Koordinator Modif'!Q114+'Sub Koordinator Modif'!Q142)/3</f>
        <v>92.4535353</v>
      </c>
      <c r="R97" s="143">
        <f>('Sub Koordinator Modif'!R91+'Sub Koordinator Modif'!R114+'Sub Koordinator Modif'!R142)/3</f>
        <v>0</v>
      </c>
      <c r="S97" s="46">
        <f t="shared" ref="S97:U97" si="56">IF(K97=0,0,IF((O97/K97*100)&gt;120,120,O97/K97*100))</f>
        <v>100.9096816</v>
      </c>
      <c r="T97" s="46">
        <f t="shared" si="56"/>
        <v>101.5838782</v>
      </c>
      <c r="U97" s="46">
        <f t="shared" si="56"/>
        <v>101.7247334</v>
      </c>
      <c r="V97" s="46">
        <f t="shared" ref="V97:Y97" si="57">IF($N97=0,0,IF((O97/$N97*100)&gt;120,120,O97/$N97*100))</f>
        <v>0.5805846222</v>
      </c>
      <c r="W97" s="46">
        <f t="shared" si="57"/>
        <v>88.54751666</v>
      </c>
      <c r="X97" s="46">
        <f t="shared" si="57"/>
        <v>92.4535353</v>
      </c>
      <c r="Y97" s="46">
        <f t="shared" si="57"/>
        <v>0</v>
      </c>
      <c r="Z97" s="2"/>
      <c r="AA97" s="3"/>
    </row>
    <row r="98" ht="14.25" customHeight="1">
      <c r="A98" s="1"/>
      <c r="B98" s="37"/>
      <c r="C98" s="39"/>
      <c r="D98" s="39"/>
      <c r="E98" s="39"/>
      <c r="F98" s="41"/>
      <c r="G98" s="39"/>
      <c r="H98" s="39"/>
      <c r="I98" s="39"/>
      <c r="J98" s="39"/>
      <c r="K98" s="39"/>
      <c r="L98" s="39"/>
      <c r="M98" s="39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2"/>
      <c r="AA98" s="3"/>
    </row>
    <row r="99" ht="14.25" customHeight="1">
      <c r="A99" s="1"/>
      <c r="B99" s="144"/>
      <c r="C99" s="145"/>
      <c r="D99" s="146"/>
      <c r="E99" s="146"/>
      <c r="F99" s="146"/>
      <c r="G99" s="147" t="s">
        <v>102</v>
      </c>
      <c r="H99" s="146"/>
      <c r="I99" s="146"/>
      <c r="J99" s="146"/>
      <c r="K99" s="148"/>
      <c r="L99" s="148"/>
      <c r="M99" s="148"/>
      <c r="N99" s="148"/>
      <c r="O99" s="148"/>
      <c r="P99" s="148"/>
      <c r="Q99" s="148"/>
      <c r="R99" s="148"/>
      <c r="S99" s="149">
        <f t="shared" ref="S99:U99" si="58">IF(SUM(K84,K87,K90:K93,K97)&gt;0,SUM(S84,S87,S90:S93,S97)/SUM(COUNTIF(K84,"&gt;0"),COUNTIF(K87,"&gt;0"),COUNTIF(K90:K93,"&gt;0"),COUNTIF(K97,"&gt;0")),0)</f>
        <v>100.3032272</v>
      </c>
      <c r="T99" s="149">
        <f t="shared" si="58"/>
        <v>102.4314584</v>
      </c>
      <c r="U99" s="149">
        <f t="shared" si="58"/>
        <v>101.9297043</v>
      </c>
      <c r="V99" s="149">
        <f t="shared" ref="V99:Y99" si="59">IF(SUM($N84,$N87,$N90:$N93,$N97)&gt;0,SUM(V84,V87,V90:V93,V97)/SUM(COUNTIF($N84,"&gt;0"),COUNTIF($N87,"&gt;0"),COUNTIF($N90:$N93,"&gt;0"),COUNTIF($N97,"&gt;0")),0)</f>
        <v>12.22503116</v>
      </c>
      <c r="W99" s="149">
        <f t="shared" si="59"/>
        <v>62.83278236</v>
      </c>
      <c r="X99" s="149">
        <f t="shared" si="59"/>
        <v>77.03835928</v>
      </c>
      <c r="Y99" s="149">
        <f t="shared" si="59"/>
        <v>0</v>
      </c>
      <c r="Z99" s="2"/>
      <c r="AA99" s="3"/>
    </row>
    <row r="100" ht="14.25" customHeight="1">
      <c r="A100" s="1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3"/>
    </row>
    <row r="101" ht="14.25" customHeight="1">
      <c r="A101" s="1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3"/>
    </row>
    <row r="102" ht="25.5" customHeight="1">
      <c r="A102" s="1"/>
      <c r="B102" s="4" t="s">
        <v>103</v>
      </c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6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2"/>
      <c r="AA102" s="3"/>
    </row>
    <row r="103" ht="14.25" customHeight="1">
      <c r="A103" s="1"/>
      <c r="B103" s="150" t="s">
        <v>2</v>
      </c>
      <c r="C103" s="8"/>
      <c r="D103" s="8"/>
      <c r="E103" s="8"/>
      <c r="F103" s="8"/>
      <c r="G103" s="8"/>
      <c r="H103" s="119"/>
      <c r="I103" s="151" t="s">
        <v>83</v>
      </c>
      <c r="J103" s="152" t="s">
        <v>3</v>
      </c>
      <c r="K103" s="11"/>
      <c r="L103" s="11"/>
      <c r="M103" s="11"/>
      <c r="N103" s="11"/>
      <c r="O103" s="11"/>
      <c r="P103" s="11"/>
      <c r="Q103" s="11"/>
      <c r="R103" s="12"/>
      <c r="S103" s="152" t="s">
        <v>4</v>
      </c>
      <c r="T103" s="11"/>
      <c r="U103" s="11"/>
      <c r="V103" s="11"/>
      <c r="W103" s="11"/>
      <c r="X103" s="11"/>
      <c r="Y103" s="12"/>
      <c r="Z103" s="2"/>
      <c r="AA103" s="3"/>
    </row>
    <row r="104" ht="15.0" customHeight="1">
      <c r="A104" s="1"/>
      <c r="B104" s="13"/>
      <c r="H104" s="122"/>
      <c r="I104" s="123"/>
      <c r="J104" s="153" t="s">
        <v>5</v>
      </c>
      <c r="K104" s="154" t="s">
        <v>6</v>
      </c>
      <c r="L104" s="17"/>
      <c r="M104" s="17"/>
      <c r="N104" s="18"/>
      <c r="O104" s="154" t="s">
        <v>7</v>
      </c>
      <c r="P104" s="17"/>
      <c r="Q104" s="17"/>
      <c r="R104" s="18"/>
      <c r="S104" s="154" t="s">
        <v>8</v>
      </c>
      <c r="T104" s="17"/>
      <c r="U104" s="18"/>
      <c r="V104" s="154" t="s">
        <v>9</v>
      </c>
      <c r="W104" s="17"/>
      <c r="X104" s="17"/>
      <c r="Y104" s="18"/>
      <c r="Z104" s="2"/>
      <c r="AA104" s="3"/>
    </row>
    <row r="105" ht="14.25" customHeight="1">
      <c r="A105" s="1"/>
      <c r="B105" s="19"/>
      <c r="C105" s="20"/>
      <c r="D105" s="20"/>
      <c r="E105" s="20"/>
      <c r="F105" s="20"/>
      <c r="G105" s="20"/>
      <c r="H105" s="126"/>
      <c r="I105" s="22"/>
      <c r="J105" s="22"/>
      <c r="K105" s="155" t="s">
        <v>10</v>
      </c>
      <c r="L105" s="155" t="s">
        <v>11</v>
      </c>
      <c r="M105" s="155" t="s">
        <v>12</v>
      </c>
      <c r="N105" s="155" t="s">
        <v>13</v>
      </c>
      <c r="O105" s="155" t="s">
        <v>10</v>
      </c>
      <c r="P105" s="155" t="s">
        <v>11</v>
      </c>
      <c r="Q105" s="155" t="s">
        <v>12</v>
      </c>
      <c r="R105" s="155" t="s">
        <v>13</v>
      </c>
      <c r="S105" s="155" t="s">
        <v>10</v>
      </c>
      <c r="T105" s="155" t="s">
        <v>11</v>
      </c>
      <c r="U105" s="155" t="s">
        <v>12</v>
      </c>
      <c r="V105" s="155" t="s">
        <v>10</v>
      </c>
      <c r="W105" s="155" t="s">
        <v>11</v>
      </c>
      <c r="X105" s="155" t="s">
        <v>12</v>
      </c>
      <c r="Y105" s="156" t="s">
        <v>13</v>
      </c>
      <c r="Z105" s="25"/>
      <c r="AA105" s="3"/>
    </row>
    <row r="106" ht="14.25" customHeight="1">
      <c r="A106" s="1"/>
      <c r="B106" s="157">
        <v>-1.0</v>
      </c>
      <c r="C106" s="27"/>
      <c r="D106" s="27"/>
      <c r="E106" s="27"/>
      <c r="F106" s="27"/>
      <c r="G106" s="27"/>
      <c r="H106" s="130"/>
      <c r="I106" s="158">
        <v>-2.0</v>
      </c>
      <c r="J106" s="158">
        <v>-3.0</v>
      </c>
      <c r="K106" s="158">
        <v>-4.0</v>
      </c>
      <c r="L106" s="158">
        <v>-5.0</v>
      </c>
      <c r="M106" s="158">
        <v>-6.0</v>
      </c>
      <c r="N106" s="158">
        <v>-7.0</v>
      </c>
      <c r="O106" s="158">
        <v>-8.0</v>
      </c>
      <c r="P106" s="158">
        <v>-9.0</v>
      </c>
      <c r="Q106" s="158">
        <v>-10.0</v>
      </c>
      <c r="R106" s="158">
        <v>-11.0</v>
      </c>
      <c r="S106" s="158">
        <v>-12.0</v>
      </c>
      <c r="T106" s="158">
        <v>-13.0</v>
      </c>
      <c r="U106" s="158">
        <v>-14.0</v>
      </c>
      <c r="V106" s="158">
        <v>-15.0</v>
      </c>
      <c r="W106" s="158">
        <v>-16.0</v>
      </c>
      <c r="X106" s="158">
        <v>-17.0</v>
      </c>
      <c r="Y106" s="158">
        <v>-18.0</v>
      </c>
      <c r="Z106" s="25"/>
      <c r="AA106" s="3"/>
    </row>
    <row r="107" ht="14.25" customHeight="1">
      <c r="A107" s="1"/>
      <c r="B107" s="32"/>
      <c r="C107" s="33"/>
      <c r="D107" s="33"/>
      <c r="E107" s="33"/>
      <c r="F107" s="34"/>
      <c r="G107" s="35"/>
      <c r="H107" s="35"/>
      <c r="I107" s="35"/>
      <c r="J107" s="35"/>
      <c r="K107" s="35"/>
      <c r="L107" s="35"/>
      <c r="M107" s="35"/>
      <c r="N107" s="102"/>
      <c r="O107" s="35"/>
      <c r="P107" s="35"/>
      <c r="Q107" s="35"/>
      <c r="R107" s="35"/>
      <c r="S107" s="35"/>
      <c r="T107" s="35"/>
      <c r="U107" s="35"/>
      <c r="V107" s="35"/>
      <c r="W107" s="35"/>
      <c r="X107" s="35"/>
      <c r="Y107" s="35"/>
      <c r="Z107" s="2"/>
      <c r="AA107" s="3"/>
    </row>
    <row r="108" ht="14.25" customHeight="1">
      <c r="A108" s="1"/>
      <c r="B108" s="37"/>
      <c r="C108" s="39" t="s">
        <v>104</v>
      </c>
      <c r="D108" s="39"/>
      <c r="E108" s="39"/>
      <c r="F108" s="39"/>
      <c r="G108" s="39"/>
      <c r="H108" s="39"/>
      <c r="I108" s="159">
        <f>'Sub Koordinator Modif'!I153+'Sub Koordinator Modif'!I189+'Sub Koordinator Modif'!I225</f>
        <v>23</v>
      </c>
      <c r="J108" s="103" t="s">
        <v>85</v>
      </c>
      <c r="K108" s="39">
        <f t="shared" ref="K108:R108" si="60">SUM(K109:K110)</f>
        <v>5</v>
      </c>
      <c r="L108" s="39">
        <f t="shared" si="60"/>
        <v>6</v>
      </c>
      <c r="M108" s="60">
        <f t="shared" si="60"/>
        <v>7</v>
      </c>
      <c r="N108" s="160">
        <f t="shared" si="60"/>
        <v>23</v>
      </c>
      <c r="O108" s="62">
        <f t="shared" si="60"/>
        <v>5</v>
      </c>
      <c r="P108" s="39">
        <f t="shared" si="60"/>
        <v>6</v>
      </c>
      <c r="Q108" s="39">
        <f t="shared" si="60"/>
        <v>7</v>
      </c>
      <c r="R108" s="39">
        <f t="shared" si="60"/>
        <v>0</v>
      </c>
      <c r="S108" s="46">
        <f t="shared" ref="S108:U108" si="61">IF(K108=0,0,IF((O108/K108*100)&gt;120,120,O108/K108*100))</f>
        <v>100</v>
      </c>
      <c r="T108" s="46">
        <f t="shared" si="61"/>
        <v>100</v>
      </c>
      <c r="U108" s="46">
        <f t="shared" si="61"/>
        <v>100</v>
      </c>
      <c r="V108" s="46">
        <f t="shared" ref="V108:Y108" si="62">IF($N108=0,0,IF((O108/$N108*100)&gt;120,120,O108/$N108*100))</f>
        <v>21.73913043</v>
      </c>
      <c r="W108" s="46">
        <f t="shared" si="62"/>
        <v>26.08695652</v>
      </c>
      <c r="X108" s="46">
        <f t="shared" si="62"/>
        <v>30.43478261</v>
      </c>
      <c r="Y108" s="46">
        <f t="shared" si="62"/>
        <v>0</v>
      </c>
      <c r="Z108" s="2"/>
      <c r="AA108" s="3"/>
    </row>
    <row r="109" ht="14.25" customHeight="1">
      <c r="A109" s="1"/>
      <c r="B109" s="37"/>
      <c r="C109" s="39"/>
      <c r="D109" s="109" t="s">
        <v>105</v>
      </c>
      <c r="E109" s="39"/>
      <c r="F109" s="39"/>
      <c r="G109" s="39"/>
      <c r="H109" s="39"/>
      <c r="I109" s="159">
        <f>'Sub Koordinator Modif'!I154+'Sub Koordinator Modif'!I190+'Sub Koordinator Modif'!I226</f>
        <v>11</v>
      </c>
      <c r="J109" s="110" t="s">
        <v>87</v>
      </c>
      <c r="K109" s="42">
        <f>'Sub Koordinator Modif'!K154+'Sub Koordinator Modif'!K190+'Sub Koordinator Modif'!K226</f>
        <v>0</v>
      </c>
      <c r="L109" s="42">
        <f>'Sub Koordinator Modif'!L154+'Sub Koordinator Modif'!L190+'Sub Koordinator Modif'!L226</f>
        <v>1</v>
      </c>
      <c r="M109" s="42">
        <f>'Sub Koordinator Modif'!M154+'Sub Koordinator Modif'!M190+'Sub Koordinator Modif'!M226</f>
        <v>2</v>
      </c>
      <c r="N109" s="42">
        <f>'Sub Koordinator Modif'!N154+'Sub Koordinator Modif'!N190+'Sub Koordinator Modif'!N226</f>
        <v>11</v>
      </c>
      <c r="O109" s="42">
        <f>'Sub Koordinator Modif'!O154+'Sub Koordinator Modif'!O190+'Sub Koordinator Modif'!O226</f>
        <v>0</v>
      </c>
      <c r="P109" s="42">
        <f>'Sub Koordinator Modif'!P154+'Sub Koordinator Modif'!P190+'Sub Koordinator Modif'!P226</f>
        <v>1</v>
      </c>
      <c r="Q109" s="42">
        <f>'Sub Koordinator Modif'!Q154+'Sub Koordinator Modif'!Q190+'Sub Koordinator Modif'!Q226</f>
        <v>2</v>
      </c>
      <c r="R109" s="42">
        <f>'Sub Koordinator Modif'!R154+'Sub Koordinator Modif'!R190+'Sub Koordinator Modif'!R226</f>
        <v>0</v>
      </c>
      <c r="S109" s="111"/>
      <c r="T109" s="111"/>
      <c r="U109" s="111"/>
      <c r="V109" s="111"/>
      <c r="W109" s="111"/>
      <c r="X109" s="111"/>
      <c r="Y109" s="111"/>
      <c r="Z109" s="2"/>
      <c r="AA109" s="3"/>
    </row>
    <row r="110" ht="14.25" customHeight="1">
      <c r="A110" s="1"/>
      <c r="B110" s="37"/>
      <c r="C110" s="39"/>
      <c r="D110" s="109" t="s">
        <v>106</v>
      </c>
      <c r="E110" s="39"/>
      <c r="F110" s="39"/>
      <c r="G110" s="39"/>
      <c r="H110" s="39"/>
      <c r="I110" s="159">
        <f>'Sub Koordinator Modif'!I155+'Sub Koordinator Modif'!I191+'Sub Koordinator Modif'!I227</f>
        <v>12</v>
      </c>
      <c r="J110" s="110" t="s">
        <v>66</v>
      </c>
      <c r="K110" s="42">
        <f>'Sub Koordinator Modif'!K155+'Sub Koordinator Modif'!K191+'Sub Koordinator Modif'!K227</f>
        <v>5</v>
      </c>
      <c r="L110" s="42">
        <f>'Sub Koordinator Modif'!L155+'Sub Koordinator Modif'!L191+'Sub Koordinator Modif'!L227</f>
        <v>5</v>
      </c>
      <c r="M110" s="42">
        <f>'Sub Koordinator Modif'!M155+'Sub Koordinator Modif'!M191+'Sub Koordinator Modif'!M227</f>
        <v>5</v>
      </c>
      <c r="N110" s="42">
        <f>'Sub Koordinator Modif'!N155+'Sub Koordinator Modif'!N191+'Sub Koordinator Modif'!N227</f>
        <v>12</v>
      </c>
      <c r="O110" s="42">
        <f>'Sub Koordinator Modif'!O155+'Sub Koordinator Modif'!O191+'Sub Koordinator Modif'!O227</f>
        <v>5</v>
      </c>
      <c r="P110" s="42">
        <f>'Sub Koordinator Modif'!P155+'Sub Koordinator Modif'!P191+'Sub Koordinator Modif'!P227</f>
        <v>5</v>
      </c>
      <c r="Q110" s="42">
        <f>'Sub Koordinator Modif'!Q155+'Sub Koordinator Modif'!Q191+'Sub Koordinator Modif'!Q227</f>
        <v>5</v>
      </c>
      <c r="R110" s="42">
        <f>'Sub Koordinator Modif'!R155+'Sub Koordinator Modif'!R191+'Sub Koordinator Modif'!R227</f>
        <v>0</v>
      </c>
      <c r="S110" s="111"/>
      <c r="T110" s="111"/>
      <c r="U110" s="111"/>
      <c r="V110" s="111"/>
      <c r="W110" s="111"/>
      <c r="X110" s="111"/>
      <c r="Y110" s="111"/>
      <c r="Z110" s="2"/>
      <c r="AA110" s="3"/>
    </row>
    <row r="111" ht="14.25" customHeight="1">
      <c r="A111" s="1"/>
      <c r="B111" s="37"/>
      <c r="C111" s="39" t="s">
        <v>107</v>
      </c>
      <c r="D111" s="39"/>
      <c r="E111" s="39"/>
      <c r="F111" s="39"/>
      <c r="G111" s="39"/>
      <c r="H111" s="39"/>
      <c r="I111" s="159">
        <f>'Sub Koordinator Modif'!I156+'Sub Koordinator Modif'!I192+'Sub Koordinator Modif'!I228</f>
        <v>15</v>
      </c>
      <c r="J111" s="103" t="s">
        <v>85</v>
      </c>
      <c r="K111" s="39">
        <f t="shared" ref="K111:R111" si="63">SUM(K112:K113)</f>
        <v>0</v>
      </c>
      <c r="L111" s="39">
        <f t="shared" si="63"/>
        <v>1</v>
      </c>
      <c r="M111" s="60">
        <f t="shared" si="63"/>
        <v>2</v>
      </c>
      <c r="N111" s="160">
        <f t="shared" si="63"/>
        <v>15</v>
      </c>
      <c r="O111" s="62">
        <f t="shared" si="63"/>
        <v>0</v>
      </c>
      <c r="P111" s="39">
        <f t="shared" si="63"/>
        <v>1</v>
      </c>
      <c r="Q111" s="39">
        <f t="shared" si="63"/>
        <v>2</v>
      </c>
      <c r="R111" s="39">
        <f t="shared" si="63"/>
        <v>0</v>
      </c>
      <c r="S111" s="46">
        <f t="shared" ref="S111:U111" si="64">IF(K111=0,0,IF((O111/K111*100)&gt;120,120,O111/K111*100))</f>
        <v>0</v>
      </c>
      <c r="T111" s="46">
        <f t="shared" si="64"/>
        <v>100</v>
      </c>
      <c r="U111" s="46">
        <f t="shared" si="64"/>
        <v>100</v>
      </c>
      <c r="V111" s="46">
        <f t="shared" ref="V111:Y111" si="65">IF($N111=0,0,IF((O111/$N111*100)&gt;120,120,O111/$N111*100))</f>
        <v>0</v>
      </c>
      <c r="W111" s="46">
        <f t="shared" si="65"/>
        <v>6.666666667</v>
      </c>
      <c r="X111" s="46">
        <f t="shared" si="65"/>
        <v>13.33333333</v>
      </c>
      <c r="Y111" s="46">
        <f t="shared" si="65"/>
        <v>0</v>
      </c>
      <c r="Z111" s="2"/>
      <c r="AA111" s="3"/>
    </row>
    <row r="112" ht="14.25" customHeight="1">
      <c r="A112" s="1"/>
      <c r="B112" s="37"/>
      <c r="C112" s="39"/>
      <c r="D112" s="109" t="s">
        <v>108</v>
      </c>
      <c r="E112" s="39"/>
      <c r="F112" s="39"/>
      <c r="G112" s="39"/>
      <c r="H112" s="39"/>
      <c r="I112" s="159">
        <f>'Sub Koordinator Modif'!I157+'Sub Koordinator Modif'!I193+'Sub Koordinator Modif'!I229</f>
        <v>8</v>
      </c>
      <c r="J112" s="110" t="s">
        <v>87</v>
      </c>
      <c r="K112" s="42">
        <f>'Sub Koordinator Modif'!K157+'Sub Koordinator Modif'!K193+'Sub Koordinator Modif'!K229</f>
        <v>0</v>
      </c>
      <c r="L112" s="42">
        <f>'Sub Koordinator Modif'!L157+'Sub Koordinator Modif'!L193+'Sub Koordinator Modif'!L229</f>
        <v>1</v>
      </c>
      <c r="M112" s="42">
        <f>'Sub Koordinator Modif'!M157+'Sub Koordinator Modif'!M193+'Sub Koordinator Modif'!M229</f>
        <v>2</v>
      </c>
      <c r="N112" s="42">
        <f>'Sub Koordinator Modif'!N157+'Sub Koordinator Modif'!N193+'Sub Koordinator Modif'!N229</f>
        <v>8</v>
      </c>
      <c r="O112" s="42">
        <f>'Sub Koordinator Modif'!O157+'Sub Koordinator Modif'!O193+'Sub Koordinator Modif'!O229</f>
        <v>0</v>
      </c>
      <c r="P112" s="42">
        <f>'Sub Koordinator Modif'!P157+'Sub Koordinator Modif'!P193+'Sub Koordinator Modif'!P229</f>
        <v>1</v>
      </c>
      <c r="Q112" s="42">
        <f>'Sub Koordinator Modif'!Q157+'Sub Koordinator Modif'!Q193+'Sub Koordinator Modif'!Q229</f>
        <v>2</v>
      </c>
      <c r="R112" s="42">
        <f>'Sub Koordinator Modif'!R157+'Sub Koordinator Modif'!R193+'Sub Koordinator Modif'!R229</f>
        <v>0</v>
      </c>
      <c r="S112" s="111"/>
      <c r="T112" s="111"/>
      <c r="U112" s="111"/>
      <c r="V112" s="111"/>
      <c r="W112" s="111"/>
      <c r="X112" s="111"/>
      <c r="Y112" s="111"/>
      <c r="Z112" s="2"/>
      <c r="AA112" s="3"/>
    </row>
    <row r="113" ht="14.25" customHeight="1">
      <c r="A113" s="1"/>
      <c r="B113" s="37"/>
      <c r="C113" s="39"/>
      <c r="D113" s="109" t="s">
        <v>109</v>
      </c>
      <c r="E113" s="39"/>
      <c r="F113" s="39"/>
      <c r="G113" s="39"/>
      <c r="H113" s="39"/>
      <c r="I113" s="159">
        <f>'Sub Koordinator Modif'!I158+'Sub Koordinator Modif'!I194+'Sub Koordinator Modif'!I230</f>
        <v>7</v>
      </c>
      <c r="J113" s="110" t="s">
        <v>66</v>
      </c>
      <c r="K113" s="42">
        <f>'Sub Koordinator Modif'!K158+'Sub Koordinator Modif'!K194+'Sub Koordinator Modif'!K230</f>
        <v>0</v>
      </c>
      <c r="L113" s="42">
        <f>'Sub Koordinator Modif'!L158+'Sub Koordinator Modif'!L194+'Sub Koordinator Modif'!L230</f>
        <v>0</v>
      </c>
      <c r="M113" s="42">
        <f>'Sub Koordinator Modif'!M158+'Sub Koordinator Modif'!M194+'Sub Koordinator Modif'!M230</f>
        <v>0</v>
      </c>
      <c r="N113" s="42">
        <f>'Sub Koordinator Modif'!N158+'Sub Koordinator Modif'!N194+'Sub Koordinator Modif'!N230</f>
        <v>7</v>
      </c>
      <c r="O113" s="42">
        <f>'Sub Koordinator Modif'!O158+'Sub Koordinator Modif'!O194+'Sub Koordinator Modif'!O230</f>
        <v>0</v>
      </c>
      <c r="P113" s="42">
        <f>'Sub Koordinator Modif'!P158+'Sub Koordinator Modif'!P194+'Sub Koordinator Modif'!P230</f>
        <v>0</v>
      </c>
      <c r="Q113" s="42">
        <f>'Sub Koordinator Modif'!Q158+'Sub Koordinator Modif'!Q194+'Sub Koordinator Modif'!Q230</f>
        <v>0</v>
      </c>
      <c r="R113" s="42">
        <f>'Sub Koordinator Modif'!R158+'Sub Koordinator Modif'!R194+'Sub Koordinator Modif'!R230</f>
        <v>0</v>
      </c>
      <c r="S113" s="111"/>
      <c r="T113" s="111"/>
      <c r="U113" s="111"/>
      <c r="V113" s="111"/>
      <c r="W113" s="111"/>
      <c r="X113" s="111"/>
      <c r="Y113" s="111"/>
      <c r="Z113" s="2"/>
      <c r="AA113" s="3"/>
    </row>
    <row r="114" ht="16.5" customHeight="1">
      <c r="A114" s="1"/>
      <c r="B114" s="37"/>
      <c r="C114" s="39" t="s">
        <v>110</v>
      </c>
      <c r="D114" s="39"/>
      <c r="E114" s="39"/>
      <c r="F114" s="39"/>
      <c r="G114" s="39"/>
      <c r="H114" s="39"/>
      <c r="I114" s="159">
        <f>'Sub Koordinator Modif'!I159+'Sub Koordinator Modif'!I195+'Sub Koordinator Modif'!I231</f>
        <v>2</v>
      </c>
      <c r="J114" s="103" t="s">
        <v>87</v>
      </c>
      <c r="K114" s="42">
        <f>'Sub Koordinator Modif'!K159+'Sub Koordinator Modif'!K195+'Sub Koordinator Modif'!K231</f>
        <v>0</v>
      </c>
      <c r="L114" s="42">
        <f>'Sub Koordinator Modif'!L159+'Sub Koordinator Modif'!L195+'Sub Koordinator Modif'!L231</f>
        <v>1</v>
      </c>
      <c r="M114" s="42">
        <f>'Sub Koordinator Modif'!M159+'Sub Koordinator Modif'!M195+'Sub Koordinator Modif'!M231</f>
        <v>1</v>
      </c>
      <c r="N114" s="42">
        <f>'Sub Koordinator Modif'!N159+'Sub Koordinator Modif'!N195+'Sub Koordinator Modif'!N231</f>
        <v>2</v>
      </c>
      <c r="O114" s="42">
        <f>'Sub Koordinator Modif'!O159+'Sub Koordinator Modif'!O195+'Sub Koordinator Modif'!O231</f>
        <v>0</v>
      </c>
      <c r="P114" s="42">
        <f>'Sub Koordinator Modif'!P159+'Sub Koordinator Modif'!P195+'Sub Koordinator Modif'!P231</f>
        <v>1</v>
      </c>
      <c r="Q114" s="42">
        <f>'Sub Koordinator Modif'!Q159+'Sub Koordinator Modif'!Q195+'Sub Koordinator Modif'!Q231</f>
        <v>1</v>
      </c>
      <c r="R114" s="42">
        <f>'Sub Koordinator Modif'!R159+'Sub Koordinator Modif'!R195+'Sub Koordinator Modif'!R231</f>
        <v>0</v>
      </c>
      <c r="S114" s="46">
        <f t="shared" ref="S114:U114" si="66">IF(K114=0,0,IF((O114/K114*100)&gt;120,120,O114/K114*100))</f>
        <v>0</v>
      </c>
      <c r="T114" s="46">
        <f t="shared" si="66"/>
        <v>100</v>
      </c>
      <c r="U114" s="46">
        <f t="shared" si="66"/>
        <v>100</v>
      </c>
      <c r="V114" s="46">
        <f t="shared" ref="V114:Y114" si="67">IF($N114=0,0,IF((O114/$N114*100)&gt;120,120,O114/$N114*100))</f>
        <v>0</v>
      </c>
      <c r="W114" s="46">
        <f t="shared" si="67"/>
        <v>50</v>
      </c>
      <c r="X114" s="46">
        <f t="shared" si="67"/>
        <v>50</v>
      </c>
      <c r="Y114" s="46">
        <f t="shared" si="67"/>
        <v>0</v>
      </c>
      <c r="Z114" s="2"/>
      <c r="AA114" s="3"/>
    </row>
    <row r="115" ht="14.25" customHeight="1">
      <c r="A115" s="1"/>
      <c r="B115" s="37"/>
      <c r="C115" s="39" t="s">
        <v>111</v>
      </c>
      <c r="D115" s="39"/>
      <c r="E115" s="39"/>
      <c r="F115" s="39"/>
      <c r="G115" s="39"/>
      <c r="H115" s="39"/>
      <c r="I115" s="159">
        <f>'Sub Koordinator Modif'!I160+'Sub Koordinator Modif'!I196+'Sub Koordinator Modif'!I232</f>
        <v>2</v>
      </c>
      <c r="J115" s="103" t="s">
        <v>95</v>
      </c>
      <c r="K115" s="42">
        <f>'Sub Koordinator Modif'!K160+'Sub Koordinator Modif'!K196+'Sub Koordinator Modif'!K232</f>
        <v>1</v>
      </c>
      <c r="L115" s="42">
        <f>'Sub Koordinator Modif'!L160+'Sub Koordinator Modif'!L196+'Sub Koordinator Modif'!L232</f>
        <v>1</v>
      </c>
      <c r="M115" s="42">
        <f>'Sub Koordinator Modif'!M160+'Sub Koordinator Modif'!M196+'Sub Koordinator Modif'!M232</f>
        <v>1</v>
      </c>
      <c r="N115" s="42">
        <f>'Sub Koordinator Modif'!N160+'Sub Koordinator Modif'!N196+'Sub Koordinator Modif'!N232</f>
        <v>2</v>
      </c>
      <c r="O115" s="42">
        <f>'Sub Koordinator Modif'!O160+'Sub Koordinator Modif'!O196+'Sub Koordinator Modif'!O232</f>
        <v>1</v>
      </c>
      <c r="P115" s="42">
        <f>'Sub Koordinator Modif'!P160+'Sub Koordinator Modif'!P196+'Sub Koordinator Modif'!P232</f>
        <v>1</v>
      </c>
      <c r="Q115" s="42">
        <f>'Sub Koordinator Modif'!Q160+'Sub Koordinator Modif'!Q196+'Sub Koordinator Modif'!Q232</f>
        <v>1</v>
      </c>
      <c r="R115" s="42">
        <f>'Sub Koordinator Modif'!R160+'Sub Koordinator Modif'!R196+'Sub Koordinator Modif'!R232</f>
        <v>0</v>
      </c>
      <c r="S115" s="46">
        <f t="shared" ref="S115:U115" si="68">IF(K115=0,0,IF((O115/K115*100)&gt;120,120,O115/K115*100))</f>
        <v>100</v>
      </c>
      <c r="T115" s="46">
        <f t="shared" si="68"/>
        <v>100</v>
      </c>
      <c r="U115" s="46">
        <f t="shared" si="68"/>
        <v>100</v>
      </c>
      <c r="V115" s="46">
        <f t="shared" ref="V115:Y115" si="69">IF($N115=0,0,IF((O115/$N115*100)&gt;120,120,O115/$N115*100))</f>
        <v>50</v>
      </c>
      <c r="W115" s="46">
        <f t="shared" si="69"/>
        <v>50</v>
      </c>
      <c r="X115" s="46">
        <f t="shared" si="69"/>
        <v>50</v>
      </c>
      <c r="Y115" s="46">
        <f t="shared" si="69"/>
        <v>0</v>
      </c>
      <c r="Z115" s="2"/>
      <c r="AA115" s="3"/>
    </row>
    <row r="116" ht="14.25" customHeight="1">
      <c r="A116" s="1"/>
      <c r="B116" s="37"/>
      <c r="C116" s="39" t="s">
        <v>112</v>
      </c>
      <c r="D116" s="39"/>
      <c r="E116" s="39"/>
      <c r="F116" s="41"/>
      <c r="G116" s="39"/>
      <c r="H116" s="39"/>
      <c r="I116" s="159"/>
      <c r="J116" s="103" t="s">
        <v>35</v>
      </c>
      <c r="K116" s="47">
        <f t="shared" ref="K116:R116" si="70">IF(SUM($I117:$I119)=0,0,SUM(IF($I117&gt;0,K117/$I117*100,0),IF($I118&gt;0,K118/$I118*100,0),IF($I119&gt;0,K119/$I119*100,0))/COUNTIF($I117:$I119,"&gt;0"))</f>
        <v>20.50623694</v>
      </c>
      <c r="L116" s="47">
        <f t="shared" si="70"/>
        <v>41.63716527</v>
      </c>
      <c r="M116" s="48">
        <f t="shared" si="70"/>
        <v>67.05047703</v>
      </c>
      <c r="N116" s="161">
        <f t="shared" si="70"/>
        <v>97.4050962</v>
      </c>
      <c r="O116" s="50">
        <f t="shared" si="70"/>
        <v>19.91745051</v>
      </c>
      <c r="P116" s="47">
        <f t="shared" si="70"/>
        <v>38.16468204</v>
      </c>
      <c r="Q116" s="47">
        <f t="shared" si="70"/>
        <v>68.12959727</v>
      </c>
      <c r="R116" s="47">
        <f t="shared" si="70"/>
        <v>0</v>
      </c>
      <c r="S116" s="46">
        <f t="shared" ref="S116:U116" si="71">IF(K116=0,0,IF((O116/K116*100)&gt;120,120,O116/K116*100))</f>
        <v>97.12874463</v>
      </c>
      <c r="T116" s="46">
        <f t="shared" si="71"/>
        <v>91.66013533</v>
      </c>
      <c r="U116" s="46">
        <f t="shared" si="71"/>
        <v>101.6094147</v>
      </c>
      <c r="V116" s="46">
        <f t="shared" ref="V116:Y116" si="72">IF($N116=0,0,IF((O116/$N116*100)&gt;120,120,O116/$N116*100))</f>
        <v>20.44805794</v>
      </c>
      <c r="W116" s="46">
        <f t="shared" si="72"/>
        <v>39.18140172</v>
      </c>
      <c r="X116" s="46">
        <f t="shared" si="72"/>
        <v>69.94459215</v>
      </c>
      <c r="Y116" s="46">
        <f t="shared" si="72"/>
        <v>0</v>
      </c>
      <c r="Z116" s="2"/>
      <c r="AA116" s="3"/>
    </row>
    <row r="117" ht="14.25" customHeight="1">
      <c r="A117" s="1"/>
      <c r="B117" s="37"/>
      <c r="C117" s="39"/>
      <c r="D117" s="109" t="s">
        <v>113</v>
      </c>
      <c r="E117" s="39"/>
      <c r="F117" s="41"/>
      <c r="G117" s="39"/>
      <c r="H117" s="39"/>
      <c r="I117" s="42">
        <f>'Sub Koordinator Modif'!I162+'Sub Koordinator Modif'!I198+'Sub Koordinator Modif'!I234</f>
        <v>2575</v>
      </c>
      <c r="J117" s="110" t="s">
        <v>98</v>
      </c>
      <c r="K117" s="42">
        <f>'Sub Koordinator Modif'!K162+'Sub Koordinator Modif'!K198+'Sub Koordinator Modif'!K234</f>
        <v>556</v>
      </c>
      <c r="L117" s="42">
        <f>'Sub Koordinator Modif'!L162+'Sub Koordinator Modif'!L198+'Sub Koordinator Modif'!L234</f>
        <v>1100</v>
      </c>
      <c r="M117" s="42">
        <f>'Sub Koordinator Modif'!M162+'Sub Koordinator Modif'!M198+'Sub Koordinator Modif'!M234</f>
        <v>1768</v>
      </c>
      <c r="N117" s="42">
        <f>'Sub Koordinator Modif'!N162+'Sub Koordinator Modif'!N198+'Sub Koordinator Modif'!N234</f>
        <v>2575</v>
      </c>
      <c r="O117" s="42">
        <f>'Sub Koordinator Modif'!O162+'Sub Koordinator Modif'!O198+'Sub Koordinator Modif'!O234</f>
        <v>549</v>
      </c>
      <c r="P117" s="42">
        <f>'Sub Koordinator Modif'!P162+'Sub Koordinator Modif'!P198+'Sub Koordinator Modif'!P234</f>
        <v>1007</v>
      </c>
      <c r="Q117" s="42">
        <f>'Sub Koordinator Modif'!Q162+'Sub Koordinator Modif'!Q198+'Sub Koordinator Modif'!Q234</f>
        <v>1448</v>
      </c>
      <c r="R117" s="42">
        <f>'Sub Koordinator Modif'!R162+'Sub Koordinator Modif'!R198+'Sub Koordinator Modif'!R234</f>
        <v>0</v>
      </c>
      <c r="S117" s="111"/>
      <c r="T117" s="111"/>
      <c r="U117" s="111"/>
      <c r="V117" s="111"/>
      <c r="W117" s="111"/>
      <c r="X117" s="111"/>
      <c r="Y117" s="111"/>
      <c r="Z117" s="2"/>
      <c r="AA117" s="3"/>
    </row>
    <row r="118" ht="14.25" customHeight="1">
      <c r="A118" s="1"/>
      <c r="B118" s="37"/>
      <c r="C118" s="39"/>
      <c r="D118" s="109" t="s">
        <v>114</v>
      </c>
      <c r="E118" s="39"/>
      <c r="F118" s="41"/>
      <c r="G118" s="39"/>
      <c r="H118" s="39"/>
      <c r="I118" s="42">
        <f>'Sub Koordinator Modif'!I167+'Sub Koordinator Modif'!I203+'Sub Koordinator Modif'!I239</f>
        <v>6410</v>
      </c>
      <c r="J118" s="110" t="s">
        <v>98</v>
      </c>
      <c r="K118" s="42">
        <f>'Sub Koordinator Modif'!K167+'Sub Koordinator Modif'!K203+'Sub Koordinator Modif'!K239</f>
        <v>943</v>
      </c>
      <c r="L118" s="42">
        <f>'Sub Koordinator Modif'!L167+'Sub Koordinator Modif'!L203+'Sub Koordinator Modif'!L239</f>
        <v>2036</v>
      </c>
      <c r="M118" s="42">
        <f>'Sub Koordinator Modif'!M167+'Sub Koordinator Modif'!M203+'Sub Koordinator Modif'!M239</f>
        <v>3822</v>
      </c>
      <c r="N118" s="162">
        <f>'Sub Koordinator Modif'!N167+'Sub Koordinator Modif'!N203+'Sub Koordinator Modif'!N239</f>
        <v>5911</v>
      </c>
      <c r="O118" s="42">
        <f>'Sub Koordinator Modif'!O167+'Sub Koordinator Modif'!O203+'Sub Koordinator Modif'!O239</f>
        <v>858</v>
      </c>
      <c r="P118" s="42">
        <f>'Sub Koordinator Modif'!P167+'Sub Koordinator Modif'!P203+'Sub Koordinator Modif'!P240</f>
        <v>1636</v>
      </c>
      <c r="Q118" s="42">
        <f>'Sub Koordinator Modif'!Q167+'Sub Koordinator Modif'!Q203+'Sub Koordinator Modif'!Q239</f>
        <v>4904</v>
      </c>
      <c r="R118" s="42">
        <f>'Sub Koordinator Modif'!R167+'Sub Koordinator Modif'!R203+'Sub Koordinator Modif'!R239</f>
        <v>0</v>
      </c>
      <c r="S118" s="111"/>
      <c r="T118" s="111"/>
      <c r="U118" s="111"/>
      <c r="V118" s="111"/>
      <c r="W118" s="111"/>
      <c r="X118" s="111"/>
      <c r="Y118" s="111"/>
      <c r="Z118" s="2"/>
      <c r="AA118" s="3"/>
    </row>
    <row r="119" ht="14.25" customHeight="1">
      <c r="A119" s="1"/>
      <c r="B119" s="37"/>
      <c r="C119" s="39"/>
      <c r="D119" s="109" t="s">
        <v>115</v>
      </c>
      <c r="E119" s="39"/>
      <c r="F119" s="41"/>
      <c r="G119" s="39"/>
      <c r="H119" s="39"/>
      <c r="I119" s="42">
        <f>'Sub Koordinator Modif'!I173+'Sub Koordinator Modif'!I209+'Sub Koordinator Modif'!I244</f>
        <v>16621</v>
      </c>
      <c r="J119" s="110" t="s">
        <v>98</v>
      </c>
      <c r="K119" s="42">
        <f>'Sub Koordinator Modif'!K173+'Sub Koordinator Modif'!K209+'Sub Koordinator Modif'!K244</f>
        <v>4191</v>
      </c>
      <c r="L119" s="42">
        <f>'Sub Koordinator Modif'!L173+'Sub Koordinator Modif'!L209+'Sub Koordinator Modif'!L244</f>
        <v>8382</v>
      </c>
      <c r="M119" s="42">
        <f>'Sub Koordinator Modif'!M173+'Sub Koordinator Modif'!M209+'Sub Koordinator Modif'!M244</f>
        <v>12111</v>
      </c>
      <c r="N119" s="42">
        <f>'Sub Koordinator Modif'!N173+'Sub Koordinator Modif'!N209+'Sub Koordinator Modif'!N244</f>
        <v>16621</v>
      </c>
      <c r="O119" s="42">
        <f>'Sub Koordinator Modif'!O173+'Sub Koordinator Modif'!O209+'Sub Koordinator Modif'!O244</f>
        <v>4163</v>
      </c>
      <c r="P119" s="42">
        <f>'Sub Koordinator Modif'!P173+'Sub Koordinator Modif'!P209+'Sub Koordinator Modif'!P244</f>
        <v>8288</v>
      </c>
      <c r="Q119" s="42">
        <f>'Sub Koordinator Modif'!Q173+'Sub Koordinator Modif'!Q209+'Sub Koordinator Modif'!Q244</f>
        <v>11909</v>
      </c>
      <c r="R119" s="42">
        <f>'Sub Koordinator Modif'!R173+'Sub Koordinator Modif'!R209+'Sub Koordinator Modif'!R244</f>
        <v>0</v>
      </c>
      <c r="S119" s="111"/>
      <c r="T119" s="111"/>
      <c r="U119" s="111"/>
      <c r="V119" s="111"/>
      <c r="W119" s="111"/>
      <c r="X119" s="111"/>
      <c r="Y119" s="111"/>
      <c r="Z119" s="2"/>
      <c r="AA119" s="3"/>
    </row>
    <row r="120" ht="14.25" customHeight="1">
      <c r="A120" s="1"/>
      <c r="B120" s="37"/>
      <c r="C120" s="39" t="s">
        <v>116</v>
      </c>
      <c r="D120" s="39"/>
      <c r="E120" s="39"/>
      <c r="F120" s="41"/>
      <c r="G120" s="39"/>
      <c r="H120" s="39"/>
      <c r="I120" s="159"/>
      <c r="J120" s="103" t="s">
        <v>35</v>
      </c>
      <c r="K120" s="143">
        <f t="shared" ref="K120:R120" si="73">K116</f>
        <v>20.50623694</v>
      </c>
      <c r="L120" s="143">
        <f t="shared" si="73"/>
        <v>41.63716527</v>
      </c>
      <c r="M120" s="143">
        <f t="shared" si="73"/>
        <v>67.05047703</v>
      </c>
      <c r="N120" s="143">
        <f t="shared" si="73"/>
        <v>97.4050962</v>
      </c>
      <c r="O120" s="143">
        <f t="shared" si="73"/>
        <v>19.91745051</v>
      </c>
      <c r="P120" s="143">
        <f t="shared" si="73"/>
        <v>38.16468204</v>
      </c>
      <c r="Q120" s="143">
        <f t="shared" si="73"/>
        <v>68.12959727</v>
      </c>
      <c r="R120" s="143">
        <f t="shared" si="73"/>
        <v>0</v>
      </c>
      <c r="S120" s="46">
        <f t="shared" ref="S120:U120" si="74">IF(K120=0,0,IF((O120/K120*100)&gt;120,120,O120/K120*100))</f>
        <v>97.12874463</v>
      </c>
      <c r="T120" s="46">
        <f t="shared" si="74"/>
        <v>91.66013533</v>
      </c>
      <c r="U120" s="46">
        <f t="shared" si="74"/>
        <v>101.6094147</v>
      </c>
      <c r="V120" s="46">
        <f t="shared" ref="V120:Y120" si="75">IF($N120=0,0,IF((O120/$N120*100)&gt;120,120,O120/$N120*100))</f>
        <v>20.44805794</v>
      </c>
      <c r="W120" s="46">
        <f t="shared" si="75"/>
        <v>39.18140172</v>
      </c>
      <c r="X120" s="46">
        <f t="shared" si="75"/>
        <v>69.94459215</v>
      </c>
      <c r="Y120" s="46">
        <f t="shared" si="75"/>
        <v>0</v>
      </c>
      <c r="Z120" s="2"/>
      <c r="AA120" s="3"/>
    </row>
    <row r="121" ht="14.25" customHeight="1">
      <c r="A121" s="1"/>
      <c r="B121" s="37"/>
      <c r="C121" s="39"/>
      <c r="D121" s="39"/>
      <c r="E121" s="39"/>
      <c r="F121" s="41"/>
      <c r="G121" s="39"/>
      <c r="H121" s="39"/>
      <c r="I121" s="39"/>
      <c r="J121" s="39"/>
      <c r="K121" s="39"/>
      <c r="L121" s="39"/>
      <c r="M121" s="39"/>
      <c r="N121" s="77"/>
      <c r="O121" s="39"/>
      <c r="P121" s="39"/>
      <c r="Q121" s="39"/>
      <c r="R121" s="39"/>
      <c r="S121" s="39"/>
      <c r="T121" s="39"/>
      <c r="U121" s="39"/>
      <c r="V121" s="39"/>
      <c r="W121" s="39"/>
      <c r="X121" s="39"/>
      <c r="Y121" s="39"/>
      <c r="Z121" s="2"/>
      <c r="AA121" s="3"/>
    </row>
    <row r="122" ht="14.25" customHeight="1">
      <c r="A122" s="1"/>
      <c r="B122" s="163"/>
      <c r="C122" s="164"/>
      <c r="D122" s="165"/>
      <c r="E122" s="165"/>
      <c r="F122" s="165"/>
      <c r="G122" s="166" t="s">
        <v>117</v>
      </c>
      <c r="H122" s="165"/>
      <c r="I122" s="165"/>
      <c r="J122" s="165"/>
      <c r="K122" s="167"/>
      <c r="L122" s="167"/>
      <c r="M122" s="167"/>
      <c r="N122" s="167"/>
      <c r="O122" s="167"/>
      <c r="P122" s="167"/>
      <c r="Q122" s="167"/>
      <c r="R122" s="167"/>
      <c r="S122" s="168">
        <f t="shared" ref="S122:U122" si="76">IF(SUM(K108,K111,K114:K116,K120)&gt;0,SUM(S108,S111,S114:S116,S120)/SUM(COUNTIF(K108,"&gt;0"),COUNTIF(K111,"&gt;0"),COUNTIF(K114:K116,"&gt;0"),COUNTIF(K120,"&gt;0")),0)</f>
        <v>98.56437232</v>
      </c>
      <c r="T122" s="168">
        <f t="shared" si="76"/>
        <v>97.22004511</v>
      </c>
      <c r="U122" s="168">
        <f t="shared" si="76"/>
        <v>100.5364716</v>
      </c>
      <c r="V122" s="168">
        <f t="shared" ref="V122:Y122" si="77">IF(SUM($N108,$N111,$N114:$N116,$N120)&gt;0,SUM(V108,V111,V114:V116,V120)/SUM(COUNTIF($N108,"&gt;0"),COUNTIF($N111,"&gt;0"),COUNTIF($N114:$N116,"&gt;0"),COUNTIF($N120,"&gt;0")),0)</f>
        <v>18.77254105</v>
      </c>
      <c r="W122" s="168">
        <f t="shared" si="77"/>
        <v>35.1860711</v>
      </c>
      <c r="X122" s="168">
        <f t="shared" si="77"/>
        <v>47.27621671</v>
      </c>
      <c r="Y122" s="168">
        <f t="shared" si="77"/>
        <v>0</v>
      </c>
      <c r="Z122" s="2"/>
      <c r="AA122" s="3"/>
    </row>
    <row r="123" ht="14.25" customHeight="1">
      <c r="A123" s="1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3"/>
    </row>
    <row r="124" ht="14.25" customHeight="1">
      <c r="A124" s="1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3"/>
    </row>
    <row r="125" ht="14.25" customHeight="1">
      <c r="A125" s="1"/>
      <c r="B125" s="4" t="s">
        <v>118</v>
      </c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6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2"/>
      <c r="AA125" s="3"/>
    </row>
    <row r="126" ht="15.75" customHeight="1">
      <c r="A126" s="1"/>
      <c r="B126" s="169" t="s">
        <v>2</v>
      </c>
      <c r="C126" s="8"/>
      <c r="D126" s="8"/>
      <c r="E126" s="8"/>
      <c r="F126" s="8"/>
      <c r="G126" s="8"/>
      <c r="H126" s="119"/>
      <c r="I126" s="170" t="s">
        <v>83</v>
      </c>
      <c r="J126" s="171" t="s">
        <v>3</v>
      </c>
      <c r="K126" s="11"/>
      <c r="L126" s="11"/>
      <c r="M126" s="11"/>
      <c r="N126" s="11"/>
      <c r="O126" s="11"/>
      <c r="P126" s="11"/>
      <c r="Q126" s="11"/>
      <c r="R126" s="12"/>
      <c r="S126" s="171" t="s">
        <v>4</v>
      </c>
      <c r="T126" s="11"/>
      <c r="U126" s="11"/>
      <c r="V126" s="11"/>
      <c r="W126" s="11"/>
      <c r="X126" s="11"/>
      <c r="Y126" s="12"/>
      <c r="Z126" s="2"/>
      <c r="AA126" s="3"/>
    </row>
    <row r="127" ht="15.0" customHeight="1">
      <c r="A127" s="1"/>
      <c r="B127" s="13"/>
      <c r="H127" s="122"/>
      <c r="I127" s="123"/>
      <c r="J127" s="172" t="s">
        <v>5</v>
      </c>
      <c r="K127" s="173" t="s">
        <v>6</v>
      </c>
      <c r="L127" s="17"/>
      <c r="M127" s="17"/>
      <c r="N127" s="18"/>
      <c r="O127" s="173" t="s">
        <v>7</v>
      </c>
      <c r="P127" s="17"/>
      <c r="Q127" s="17"/>
      <c r="R127" s="18"/>
      <c r="S127" s="173" t="s">
        <v>8</v>
      </c>
      <c r="T127" s="17"/>
      <c r="U127" s="18"/>
      <c r="V127" s="173" t="s">
        <v>9</v>
      </c>
      <c r="W127" s="17"/>
      <c r="X127" s="17"/>
      <c r="Y127" s="18"/>
      <c r="Z127" s="2"/>
      <c r="AA127" s="3"/>
    </row>
    <row r="128" ht="14.25" customHeight="1">
      <c r="A128" s="1"/>
      <c r="B128" s="19"/>
      <c r="C128" s="20"/>
      <c r="D128" s="20"/>
      <c r="E128" s="20"/>
      <c r="F128" s="20"/>
      <c r="G128" s="20"/>
      <c r="H128" s="126"/>
      <c r="I128" s="22"/>
      <c r="J128" s="22"/>
      <c r="K128" s="174" t="s">
        <v>10</v>
      </c>
      <c r="L128" s="174" t="s">
        <v>11</v>
      </c>
      <c r="M128" s="174" t="s">
        <v>12</v>
      </c>
      <c r="N128" s="174" t="s">
        <v>13</v>
      </c>
      <c r="O128" s="174" t="s">
        <v>10</v>
      </c>
      <c r="P128" s="174" t="s">
        <v>11</v>
      </c>
      <c r="Q128" s="174" t="s">
        <v>12</v>
      </c>
      <c r="R128" s="174" t="s">
        <v>13</v>
      </c>
      <c r="S128" s="174" t="s">
        <v>10</v>
      </c>
      <c r="T128" s="174" t="s">
        <v>11</v>
      </c>
      <c r="U128" s="174" t="s">
        <v>12</v>
      </c>
      <c r="V128" s="174" t="s">
        <v>10</v>
      </c>
      <c r="W128" s="174" t="s">
        <v>11</v>
      </c>
      <c r="X128" s="174" t="s">
        <v>12</v>
      </c>
      <c r="Y128" s="175" t="s">
        <v>13</v>
      </c>
      <c r="Z128" s="25"/>
      <c r="AA128" s="3"/>
    </row>
    <row r="129" ht="14.25" customHeight="1">
      <c r="A129" s="1"/>
      <c r="B129" s="176">
        <v>-1.0</v>
      </c>
      <c r="C129" s="27"/>
      <c r="D129" s="27"/>
      <c r="E129" s="27"/>
      <c r="F129" s="27"/>
      <c r="G129" s="27"/>
      <c r="H129" s="130"/>
      <c r="I129" s="177">
        <v>-2.0</v>
      </c>
      <c r="J129" s="177">
        <v>-3.0</v>
      </c>
      <c r="K129" s="177">
        <v>-4.0</v>
      </c>
      <c r="L129" s="177">
        <v>-5.0</v>
      </c>
      <c r="M129" s="177">
        <v>-6.0</v>
      </c>
      <c r="N129" s="177">
        <v>-7.0</v>
      </c>
      <c r="O129" s="177">
        <v>-8.0</v>
      </c>
      <c r="P129" s="177">
        <v>-9.0</v>
      </c>
      <c r="Q129" s="177">
        <v>-10.0</v>
      </c>
      <c r="R129" s="177">
        <v>-11.0</v>
      </c>
      <c r="S129" s="177">
        <v>-12.0</v>
      </c>
      <c r="T129" s="177">
        <v>-13.0</v>
      </c>
      <c r="U129" s="177">
        <v>-14.0</v>
      </c>
      <c r="V129" s="177">
        <v>-15.0</v>
      </c>
      <c r="W129" s="177">
        <v>-16.0</v>
      </c>
      <c r="X129" s="177">
        <v>-17.0</v>
      </c>
      <c r="Y129" s="177">
        <v>-18.0</v>
      </c>
      <c r="Z129" s="25"/>
      <c r="AA129" s="3"/>
    </row>
    <row r="130" ht="14.25" customHeight="1">
      <c r="A130" s="1"/>
      <c r="B130" s="32"/>
      <c r="C130" s="33"/>
      <c r="D130" s="33"/>
      <c r="E130" s="33"/>
      <c r="F130" s="34"/>
      <c r="G130" s="35"/>
      <c r="H130" s="35"/>
      <c r="I130" s="35"/>
      <c r="J130" s="35"/>
      <c r="K130" s="35"/>
      <c r="L130" s="35"/>
      <c r="M130" s="35"/>
      <c r="N130" s="102"/>
      <c r="O130" s="35"/>
      <c r="P130" s="35"/>
      <c r="Q130" s="35"/>
      <c r="R130" s="35"/>
      <c r="S130" s="35"/>
      <c r="T130" s="35"/>
      <c r="U130" s="35"/>
      <c r="V130" s="35"/>
      <c r="W130" s="35"/>
      <c r="X130" s="35"/>
      <c r="Y130" s="35"/>
      <c r="Z130" s="2"/>
      <c r="AA130" s="3"/>
    </row>
    <row r="131" ht="14.25" customHeight="1">
      <c r="A131" s="1"/>
      <c r="B131" s="37"/>
      <c r="C131" s="39" t="s">
        <v>119</v>
      </c>
      <c r="D131" s="39"/>
      <c r="E131" s="39"/>
      <c r="F131" s="39"/>
      <c r="G131" s="39"/>
      <c r="H131" s="39"/>
      <c r="I131" s="159"/>
      <c r="J131" s="103" t="s">
        <v>85</v>
      </c>
      <c r="K131" s="39">
        <f t="shared" ref="K131:R131" si="78">SUM(K132:K133)</f>
        <v>1</v>
      </c>
      <c r="L131" s="39">
        <f t="shared" si="78"/>
        <v>5</v>
      </c>
      <c r="M131" s="60">
        <f t="shared" si="78"/>
        <v>9</v>
      </c>
      <c r="N131" s="178">
        <f t="shared" si="78"/>
        <v>13</v>
      </c>
      <c r="O131" s="62">
        <f t="shared" si="78"/>
        <v>1</v>
      </c>
      <c r="P131" s="39">
        <f t="shared" si="78"/>
        <v>5</v>
      </c>
      <c r="Q131" s="39">
        <f t="shared" si="78"/>
        <v>0</v>
      </c>
      <c r="R131" s="39">
        <f t="shared" si="78"/>
        <v>0</v>
      </c>
      <c r="S131" s="46">
        <f t="shared" ref="S131:U131" si="79">IF(K131=0,0,IF((O131/K131*100)&gt;120,120,O131/K131*100))</f>
        <v>100</v>
      </c>
      <c r="T131" s="46">
        <f t="shared" si="79"/>
        <v>100</v>
      </c>
      <c r="U131" s="46">
        <f t="shared" si="79"/>
        <v>0</v>
      </c>
      <c r="V131" s="46">
        <f t="shared" ref="V131:Y131" si="80">IF($N131=0,0,IF((O131/$N131*100)&gt;120,120,O131/$N131*100))</f>
        <v>7.692307692</v>
      </c>
      <c r="W131" s="46">
        <f t="shared" si="80"/>
        <v>38.46153846</v>
      </c>
      <c r="X131" s="46">
        <f t="shared" si="80"/>
        <v>0</v>
      </c>
      <c r="Y131" s="46">
        <f t="shared" si="80"/>
        <v>0</v>
      </c>
      <c r="Z131" s="2"/>
      <c r="AA131" s="3"/>
    </row>
    <row r="132" ht="14.25" customHeight="1">
      <c r="A132" s="1"/>
      <c r="B132" s="37"/>
      <c r="C132" s="39"/>
      <c r="D132" s="109" t="s">
        <v>120</v>
      </c>
      <c r="E132" s="39"/>
      <c r="F132" s="39"/>
      <c r="G132" s="39"/>
      <c r="H132" s="39"/>
      <c r="I132" s="159"/>
      <c r="J132" s="110" t="s">
        <v>87</v>
      </c>
      <c r="K132" s="179">
        <v>1.0</v>
      </c>
      <c r="L132" s="179">
        <v>5.0</v>
      </c>
      <c r="M132" s="179">
        <v>9.0</v>
      </c>
      <c r="N132" s="179">
        <v>10.0</v>
      </c>
      <c r="O132" s="179">
        <v>1.0</v>
      </c>
      <c r="P132" s="42">
        <v>5.0</v>
      </c>
      <c r="Q132" s="42"/>
      <c r="R132" s="42"/>
      <c r="S132" s="111"/>
      <c r="T132" s="111"/>
      <c r="U132" s="111"/>
      <c r="V132" s="111"/>
      <c r="W132" s="111"/>
      <c r="X132" s="111"/>
      <c r="Y132" s="111"/>
      <c r="Z132" s="2"/>
      <c r="AA132" s="3"/>
    </row>
    <row r="133" ht="14.25" customHeight="1">
      <c r="A133" s="1"/>
      <c r="B133" s="37"/>
      <c r="C133" s="39"/>
      <c r="D133" s="109" t="s">
        <v>121</v>
      </c>
      <c r="E133" s="39"/>
      <c r="F133" s="39"/>
      <c r="G133" s="39"/>
      <c r="H133" s="39"/>
      <c r="I133" s="159"/>
      <c r="J133" s="110" t="s">
        <v>66</v>
      </c>
      <c r="K133" s="179">
        <v>0.0</v>
      </c>
      <c r="L133" s="179">
        <v>0.0</v>
      </c>
      <c r="M133" s="179">
        <v>0.0</v>
      </c>
      <c r="N133" s="179">
        <v>3.0</v>
      </c>
      <c r="O133" s="179">
        <v>0.0</v>
      </c>
      <c r="P133" s="42">
        <f>'Sub Koordinator Modif'!P262+'Sub Koordinator Modif'!P294+'Sub Koordinator Modif'!P329</f>
        <v>0</v>
      </c>
      <c r="Q133" s="42">
        <f>'Sub Koordinator Modif'!Q262+'Sub Koordinator Modif'!Q294+'Sub Koordinator Modif'!Q329</f>
        <v>0</v>
      </c>
      <c r="R133" s="42">
        <f>'Sub Koordinator Modif'!R262+'Sub Koordinator Modif'!R294+'Sub Koordinator Modif'!R329</f>
        <v>0</v>
      </c>
      <c r="S133" s="111"/>
      <c r="T133" s="111"/>
      <c r="U133" s="111"/>
      <c r="V133" s="111"/>
      <c r="W133" s="111"/>
      <c r="X133" s="111"/>
      <c r="Y133" s="111"/>
      <c r="Z133" s="2"/>
      <c r="AA133" s="3"/>
    </row>
    <row r="134" ht="14.25" customHeight="1">
      <c r="A134" s="1"/>
      <c r="B134" s="37"/>
      <c r="C134" s="39" t="s">
        <v>122</v>
      </c>
      <c r="D134" s="39"/>
      <c r="E134" s="39"/>
      <c r="F134" s="39"/>
      <c r="G134" s="39"/>
      <c r="H134" s="39"/>
      <c r="I134" s="159"/>
      <c r="J134" s="103" t="s">
        <v>85</v>
      </c>
      <c r="K134" s="39">
        <f t="shared" ref="K134:R134" si="81">SUM(K135:K136)</f>
        <v>1</v>
      </c>
      <c r="L134" s="39">
        <f t="shared" si="81"/>
        <v>5</v>
      </c>
      <c r="M134" s="60">
        <f t="shared" si="81"/>
        <v>9</v>
      </c>
      <c r="N134" s="178">
        <f t="shared" si="81"/>
        <v>13</v>
      </c>
      <c r="O134" s="62">
        <f t="shared" si="81"/>
        <v>1</v>
      </c>
      <c r="P134" s="39">
        <f t="shared" si="81"/>
        <v>5</v>
      </c>
      <c r="Q134" s="39">
        <f t="shared" si="81"/>
        <v>0</v>
      </c>
      <c r="R134" s="39">
        <f t="shared" si="81"/>
        <v>0</v>
      </c>
      <c r="S134" s="46">
        <f t="shared" ref="S134:U134" si="82">IF(K134=0,0,IF((O134/K134*100)&gt;120,120,O134/K134*100))</f>
        <v>100</v>
      </c>
      <c r="T134" s="46">
        <f t="shared" si="82"/>
        <v>100</v>
      </c>
      <c r="U134" s="46">
        <f t="shared" si="82"/>
        <v>0</v>
      </c>
      <c r="V134" s="46">
        <f t="shared" ref="V134:Y134" si="83">IF($N134=0,0,IF((O134/$N134*100)&gt;120,120,O134/$N134*100))</f>
        <v>7.692307692</v>
      </c>
      <c r="W134" s="46">
        <f t="shared" si="83"/>
        <v>38.46153846</v>
      </c>
      <c r="X134" s="46">
        <f t="shared" si="83"/>
        <v>0</v>
      </c>
      <c r="Y134" s="46">
        <f t="shared" si="83"/>
        <v>0</v>
      </c>
      <c r="Z134" s="2"/>
      <c r="AA134" s="3"/>
    </row>
    <row r="135" ht="14.25" customHeight="1">
      <c r="A135" s="1"/>
      <c r="B135" s="37"/>
      <c r="C135" s="39"/>
      <c r="D135" s="109" t="s">
        <v>123</v>
      </c>
      <c r="E135" s="39"/>
      <c r="F135" s="39"/>
      <c r="G135" s="39"/>
      <c r="H135" s="39"/>
      <c r="I135" s="159"/>
      <c r="J135" s="110" t="s">
        <v>87</v>
      </c>
      <c r="K135" s="179">
        <v>1.0</v>
      </c>
      <c r="L135" s="179">
        <v>5.0</v>
      </c>
      <c r="M135" s="179">
        <v>9.0</v>
      </c>
      <c r="N135" s="179">
        <v>10.0</v>
      </c>
      <c r="O135" s="179">
        <v>1.0</v>
      </c>
      <c r="P135" s="42">
        <v>5.0</v>
      </c>
      <c r="Q135" s="42"/>
      <c r="R135" s="42"/>
      <c r="S135" s="111"/>
      <c r="T135" s="111"/>
      <c r="U135" s="111"/>
      <c r="V135" s="111"/>
      <c r="W135" s="111"/>
      <c r="X135" s="111"/>
      <c r="Y135" s="111"/>
      <c r="Z135" s="2"/>
      <c r="AA135" s="3"/>
    </row>
    <row r="136" ht="14.25" customHeight="1">
      <c r="A136" s="1"/>
      <c r="B136" s="37"/>
      <c r="C136" s="39"/>
      <c r="D136" s="109" t="s">
        <v>124</v>
      </c>
      <c r="E136" s="39"/>
      <c r="F136" s="39"/>
      <c r="G136" s="39"/>
      <c r="H136" s="39"/>
      <c r="I136" s="159"/>
      <c r="J136" s="110" t="s">
        <v>66</v>
      </c>
      <c r="K136" s="179">
        <v>0.0</v>
      </c>
      <c r="L136" s="179">
        <v>0.0</v>
      </c>
      <c r="M136" s="179">
        <v>0.0</v>
      </c>
      <c r="N136" s="179">
        <v>3.0</v>
      </c>
      <c r="O136" s="179">
        <v>0.0</v>
      </c>
      <c r="P136" s="42">
        <v>0.0</v>
      </c>
      <c r="Q136" s="42"/>
      <c r="R136" s="42"/>
      <c r="S136" s="111"/>
      <c r="T136" s="111"/>
      <c r="U136" s="111"/>
      <c r="V136" s="111"/>
      <c r="W136" s="111"/>
      <c r="X136" s="111"/>
      <c r="Y136" s="111"/>
      <c r="Z136" s="2"/>
      <c r="AA136" s="3"/>
    </row>
    <row r="137" ht="16.5" customHeight="1">
      <c r="A137" s="1"/>
      <c r="B137" s="37"/>
      <c r="C137" s="39" t="s">
        <v>125</v>
      </c>
      <c r="D137" s="39"/>
      <c r="E137" s="39"/>
      <c r="F137" s="39"/>
      <c r="G137" s="39"/>
      <c r="H137" s="39"/>
      <c r="I137" s="159"/>
      <c r="J137" s="103" t="s">
        <v>87</v>
      </c>
      <c r="K137" s="179">
        <v>0.0</v>
      </c>
      <c r="L137" s="179">
        <v>0.0</v>
      </c>
      <c r="M137" s="179">
        <v>1.0</v>
      </c>
      <c r="N137" s="179">
        <v>1.0</v>
      </c>
      <c r="O137" s="179">
        <v>0.0</v>
      </c>
      <c r="P137" s="42">
        <f>'Sub Koordinator Modif'!P266+'Sub Koordinator Modif'!P298+'Sub Koordinator Modif'!P333</f>
        <v>0</v>
      </c>
      <c r="Q137" s="42"/>
      <c r="R137" s="42"/>
      <c r="S137" s="46">
        <f t="shared" ref="S137:U137" si="84">IF(K137=0,0,IF((O137/K137*100)&gt;120,120,O137/K137*100))</f>
        <v>0</v>
      </c>
      <c r="T137" s="46">
        <f t="shared" si="84"/>
        <v>0</v>
      </c>
      <c r="U137" s="46">
        <f t="shared" si="84"/>
        <v>0</v>
      </c>
      <c r="V137" s="46">
        <f t="shared" ref="V137:Y137" si="85">IF($N137=0,0,IF((O137/$N137*100)&gt;120,120,O137/$N137*100))</f>
        <v>0</v>
      </c>
      <c r="W137" s="46">
        <f t="shared" si="85"/>
        <v>0</v>
      </c>
      <c r="X137" s="46">
        <f t="shared" si="85"/>
        <v>0</v>
      </c>
      <c r="Y137" s="46">
        <f t="shared" si="85"/>
        <v>0</v>
      </c>
      <c r="Z137" s="2"/>
      <c r="AA137" s="3"/>
    </row>
    <row r="138" ht="14.25" customHeight="1">
      <c r="A138" s="1"/>
      <c r="B138" s="37"/>
      <c r="C138" s="39" t="s">
        <v>126</v>
      </c>
      <c r="D138" s="39"/>
      <c r="E138" s="39"/>
      <c r="F138" s="39"/>
      <c r="G138" s="39"/>
      <c r="H138" s="39"/>
      <c r="I138" s="159"/>
      <c r="J138" s="103" t="s">
        <v>95</v>
      </c>
      <c r="K138" s="179">
        <v>12.0</v>
      </c>
      <c r="L138" s="179">
        <v>24.0</v>
      </c>
      <c r="M138" s="179">
        <v>36.0</v>
      </c>
      <c r="N138" s="179">
        <v>48.0</v>
      </c>
      <c r="O138" s="179">
        <v>12.0</v>
      </c>
      <c r="P138" s="42">
        <v>24.0</v>
      </c>
      <c r="Q138" s="42">
        <v>36.0</v>
      </c>
      <c r="R138" s="42">
        <v>48.0</v>
      </c>
      <c r="S138" s="46">
        <f t="shared" ref="S138:U138" si="86">IF(K138=0,0,IF((O138/K138*100)&gt;120,120,O138/K138*100))</f>
        <v>100</v>
      </c>
      <c r="T138" s="46">
        <f t="shared" si="86"/>
        <v>100</v>
      </c>
      <c r="U138" s="46">
        <f t="shared" si="86"/>
        <v>100</v>
      </c>
      <c r="V138" s="46">
        <f t="shared" ref="V138:Y138" si="87">IF($N138=0,0,IF((O138/$N138*100)&gt;120,120,O138/$N138*100))</f>
        <v>25</v>
      </c>
      <c r="W138" s="46">
        <f t="shared" si="87"/>
        <v>50</v>
      </c>
      <c r="X138" s="46">
        <f t="shared" si="87"/>
        <v>75</v>
      </c>
      <c r="Y138" s="46">
        <f t="shared" si="87"/>
        <v>100</v>
      </c>
      <c r="Z138" s="2"/>
      <c r="AA138" s="3"/>
    </row>
    <row r="139" ht="14.25" customHeight="1">
      <c r="A139" s="1"/>
      <c r="B139" s="37"/>
      <c r="C139" s="39" t="s">
        <v>127</v>
      </c>
      <c r="D139" s="39"/>
      <c r="E139" s="39"/>
      <c r="F139" s="41"/>
      <c r="G139" s="39"/>
      <c r="H139" s="39"/>
      <c r="I139" s="159"/>
      <c r="J139" s="103" t="s">
        <v>35</v>
      </c>
      <c r="K139" s="47">
        <f t="shared" ref="K139:R139" si="88">IF(SUM($I140:$I142)=0,0,SUM(IF($I140&gt;0,K140/$I140*100,0),IF($I141&gt;0,K141/$I141*100,0),IF($I142&gt;0,K142/$I142*100,0))/COUNTIF($I140:$I142,"&gt;0"))</f>
        <v>20.87323673</v>
      </c>
      <c r="L139" s="47">
        <f t="shared" si="88"/>
        <v>49.17973517</v>
      </c>
      <c r="M139" s="47">
        <f t="shared" si="88"/>
        <v>76.41282064</v>
      </c>
      <c r="N139" s="47">
        <f t="shared" si="88"/>
        <v>99.05450989</v>
      </c>
      <c r="O139" s="50">
        <f t="shared" si="88"/>
        <v>20.82078208</v>
      </c>
      <c r="P139" s="50">
        <f t="shared" si="88"/>
        <v>51.97493846</v>
      </c>
      <c r="Q139" s="50">
        <f t="shared" si="88"/>
        <v>78.02733152</v>
      </c>
      <c r="R139" s="50">
        <f t="shared" si="88"/>
        <v>0</v>
      </c>
      <c r="S139" s="46">
        <f t="shared" ref="S139:U139" si="89">IF(K139=0,0,IF((O139/K139*100)&gt;120,120,O139/K139*100))</f>
        <v>99.74869898</v>
      </c>
      <c r="T139" s="46">
        <f t="shared" si="89"/>
        <v>105.6836485</v>
      </c>
      <c r="U139" s="46">
        <f t="shared" si="89"/>
        <v>102.1128796</v>
      </c>
      <c r="V139" s="46">
        <f t="shared" ref="V139:Y139" si="90">IF($N139=0,0,IF((O139/$N139*100)&gt;120,120,O139/$N139*100))</f>
        <v>21.01951955</v>
      </c>
      <c r="W139" s="46">
        <f t="shared" si="90"/>
        <v>52.47104702</v>
      </c>
      <c r="X139" s="46">
        <f t="shared" si="90"/>
        <v>78.77211406</v>
      </c>
      <c r="Y139" s="46">
        <f t="shared" si="90"/>
        <v>0</v>
      </c>
      <c r="Z139" s="2"/>
      <c r="AA139" s="3"/>
    </row>
    <row r="140" ht="14.25" customHeight="1">
      <c r="A140" s="1"/>
      <c r="B140" s="37"/>
      <c r="C140" s="39"/>
      <c r="D140" s="109" t="s">
        <v>128</v>
      </c>
      <c r="E140" s="39"/>
      <c r="F140" s="41"/>
      <c r="G140" s="39"/>
      <c r="H140" s="39"/>
      <c r="I140" s="42">
        <f>'Sub Koordinator Modif'!I269+'Sub Koordinator Modif'!I301+'Sub Koordinator Modif'!I336</f>
        <v>31278</v>
      </c>
      <c r="J140" s="110" t="s">
        <v>98</v>
      </c>
      <c r="K140" s="179">
        <f>'Sub Koordinator Modif'!K269+'Sub Koordinator Modif'!K301+'Sub Koordinator Modif'!K336</f>
        <v>7847</v>
      </c>
      <c r="L140" s="179">
        <f>'Sub Koordinator Modif'!L269+'Sub Koordinator Modif'!L301+'Sub Koordinator Modif'!L336</f>
        <v>15694</v>
      </c>
      <c r="M140" s="179">
        <f>'Sub Koordinator Modif'!M269+'Sub Koordinator Modif'!M301+'Sub Koordinator Modif'!M336</f>
        <v>23541</v>
      </c>
      <c r="N140" s="179">
        <f>'Sub Koordinator Modif'!N269+'Sub Koordinator Modif'!N301+'Sub Koordinator Modif'!N336</f>
        <v>31278</v>
      </c>
      <c r="O140" s="179">
        <f>'Sub Koordinator Modif'!O269+'Sub Koordinator Modif'!O301+'Sub Koordinator Modif'!O336</f>
        <v>7847</v>
      </c>
      <c r="P140" s="179">
        <f>'Sub Koordinator Modif'!P269+'Sub Koordinator Modif'!P301+'Sub Koordinator Modif'!P336</f>
        <v>15694</v>
      </c>
      <c r="Q140" s="179">
        <f>'Sub Koordinator Modif'!Q269+'Sub Koordinator Modif'!Q301+'Sub Koordinator Modif'!Q336</f>
        <v>23541</v>
      </c>
      <c r="R140" s="179">
        <f>'Sub Koordinator Modif'!R269+'Sub Koordinator Modif'!R301+'Sub Koordinator Modif'!R336</f>
        <v>0</v>
      </c>
      <c r="S140" s="111"/>
      <c r="T140" s="111"/>
      <c r="U140" s="111"/>
      <c r="V140" s="111"/>
      <c r="W140" s="111"/>
      <c r="X140" s="111"/>
      <c r="Y140" s="111"/>
      <c r="Z140" s="2"/>
      <c r="AA140" s="3"/>
    </row>
    <row r="141" ht="14.25" customHeight="1">
      <c r="A141" s="1"/>
      <c r="B141" s="37"/>
      <c r="C141" s="39"/>
      <c r="D141" s="109" t="s">
        <v>129</v>
      </c>
      <c r="E141" s="39"/>
      <c r="F141" s="41"/>
      <c r="G141" s="39"/>
      <c r="H141" s="39"/>
      <c r="I141" s="42">
        <f>'Sub Koordinator Modif'!I273+'Sub Koordinator Modif'!I304+'Sub Koordinator Modif'!I338</f>
        <v>8549</v>
      </c>
      <c r="J141" s="110" t="s">
        <v>98</v>
      </c>
      <c r="K141" s="179">
        <f>'Sub Koordinator Modif'!K273+'Sub Koordinator Modif'!K304+'Sub Koordinator Modif'!K338</f>
        <v>1527</v>
      </c>
      <c r="L141" s="179">
        <f>'Sub Koordinator Modif'!L273+'Sub Koordinator Modif'!L304+'Sub Koordinator Modif'!L338</f>
        <v>3984</v>
      </c>
      <c r="M141" s="179">
        <f>'Sub Koordinator Modif'!M273+'Sub Koordinator Modif'!M304+'Sub Koordinator Modif'!M338</f>
        <v>6719</v>
      </c>
      <c r="N141" s="179">
        <f>'Sub Koordinator Modif'!N273+'Sub Koordinator Modif'!N304+'Sub Koordinator Modif'!N338</f>
        <v>8415</v>
      </c>
      <c r="O141" s="179">
        <f>'Sub Koordinator Modif'!O273+'Sub Koordinator Modif'!O304+'Sub Koordinator Modif'!O338</f>
        <v>1481</v>
      </c>
      <c r="P141" s="179">
        <f>'Sub Koordinator Modif'!P273+'Sub Koordinator Modif'!P304+'Sub Koordinator Modif'!P338</f>
        <v>4549</v>
      </c>
      <c r="Q141" s="179">
        <f>'Sub Koordinator Modif'!Q273+'Sub Koordinator Modif'!Q304+'Sub Koordinator Modif'!Q338</f>
        <v>6851</v>
      </c>
      <c r="R141" s="179">
        <f>'Sub Koordinator Modif'!R273+'Sub Koordinator Modif'!R304+'Sub Koordinator Modif'!R338</f>
        <v>0</v>
      </c>
      <c r="S141" s="111"/>
      <c r="T141" s="111"/>
      <c r="U141" s="111"/>
      <c r="V141" s="111"/>
      <c r="W141" s="111"/>
      <c r="X141" s="111"/>
      <c r="Y141" s="111"/>
      <c r="Z141" s="2"/>
      <c r="AA141" s="3"/>
    </row>
    <row r="142" ht="14.25" customHeight="1">
      <c r="A142" s="1"/>
      <c r="B142" s="37"/>
      <c r="C142" s="39"/>
      <c r="D142" s="109" t="s">
        <v>130</v>
      </c>
      <c r="E142" s="39"/>
      <c r="F142" s="41"/>
      <c r="G142" s="39"/>
      <c r="H142" s="39"/>
      <c r="I142" s="42">
        <f>'Sub Koordinator Modif'!I277+'Sub Koordinator Modif'!I313+'Sub Koordinator Modif'!I353</f>
        <v>788</v>
      </c>
      <c r="J142" s="110" t="s">
        <v>98</v>
      </c>
      <c r="K142" s="179">
        <f>'Sub Koordinator Modif'!K277+'Sub Koordinator Modif'!K313+'Sub Koordinator Modif'!K353</f>
        <v>155</v>
      </c>
      <c r="L142" s="179">
        <f>'Sub Koordinator Modif'!L277+'Sub Koordinator Modif'!L313+'Sub Koordinator Modif'!L353</f>
        <v>400</v>
      </c>
      <c r="M142" s="179">
        <f>'Sub Koordinator Modif'!M277+'Sub Koordinator Modif'!M313+'Sub Koordinator Modif'!M353</f>
        <v>594</v>
      </c>
      <c r="N142" s="179">
        <f>'Sub Koordinator Modif'!N277+'Sub Koordinator Modif'!N313+'Sub Koordinator Modif'!N353</f>
        <v>778</v>
      </c>
      <c r="O142" s="179">
        <f>'Sub Koordinator Modif'!O277+'Sub Koordinator Modif'!O313+'Sub Koordinator Modif'!O353</f>
        <v>158</v>
      </c>
      <c r="P142" s="179">
        <f>'Sub Koordinator Modif'!P277+'Sub Koordinator Modif'!P313+'Sub Koordinator Modif'!P353</f>
        <v>414</v>
      </c>
      <c r="Q142" s="179">
        <f>'Sub Koordinator Modif'!Q277+'Sub Koordinator Modif'!Q313+'Sub Koordinator Modif'!Q353</f>
        <v>620</v>
      </c>
      <c r="R142" s="179">
        <f>'Sub Koordinator Modif'!R277+'Sub Koordinator Modif'!R313+'Sub Koordinator Modif'!R353</f>
        <v>0</v>
      </c>
      <c r="S142" s="111"/>
      <c r="T142" s="111"/>
      <c r="U142" s="111"/>
      <c r="V142" s="111"/>
      <c r="W142" s="111"/>
      <c r="X142" s="111"/>
      <c r="Y142" s="111"/>
      <c r="Z142" s="2"/>
      <c r="AA142" s="3"/>
    </row>
    <row r="143" ht="14.25" customHeight="1">
      <c r="A143" s="1"/>
      <c r="B143" s="37"/>
      <c r="C143" s="39" t="s">
        <v>131</v>
      </c>
      <c r="D143" s="39"/>
      <c r="E143" s="39"/>
      <c r="F143" s="41"/>
      <c r="G143" s="39"/>
      <c r="H143" s="39"/>
      <c r="I143" s="159"/>
      <c r="J143" s="103" t="s">
        <v>35</v>
      </c>
      <c r="K143" s="180">
        <f>('Sub Koordinator Modif'!K281+'Sub Koordinator Modif'!K316+'Sub Koordinator Modif'!K356)/3</f>
        <v>16.8236769</v>
      </c>
      <c r="L143" s="180">
        <f>('Sub Koordinator Modif'!L281+'Sub Koordinator Modif'!L316+'Sub Koordinator Modif'!L356)/3</f>
        <v>54.0278682</v>
      </c>
      <c r="M143" s="180">
        <f>('Sub Koordinator Modif'!M281+'Sub Koordinator Modif'!M316+'Sub Koordinator Modif'!M356)/3</f>
        <v>79.05319002</v>
      </c>
      <c r="N143" s="180">
        <f>('Sub Koordinator Modif'!N281+'Sub Koordinator Modif'!N316+'Sub Koordinator Modif'!N356)/3</f>
        <v>99.31495582</v>
      </c>
      <c r="O143" s="180">
        <f>('Sub Koordinator Modif'!O281+'Sub Koordinator Modif'!O316+'Sub Koordinator Modif'!O356)/3</f>
        <v>16.68333333</v>
      </c>
      <c r="P143" s="180">
        <f>('Sub Koordinator Modif'!P281+'Sub Koordinator Modif'!P316+'Sub Koordinator Modif'!P356)/3</f>
        <v>54.04</v>
      </c>
      <c r="Q143" s="180">
        <f>('Sub Koordinator Modif'!Q281+'Sub Koordinator Modif'!Q316+'Sub Koordinator Modif'!Q356)/3</f>
        <v>81.10666667</v>
      </c>
      <c r="R143" s="180">
        <f>('Sub Koordinator Modif'!R281+'Sub Koordinator Modif'!R316+'Sub Koordinator Modif'!R356)/3</f>
        <v>0</v>
      </c>
      <c r="S143" s="46">
        <f t="shared" ref="S143:U143" si="91">IF(K143=0,0,IF((O143/K143*100)&gt;120,120,O143/K143*100))</f>
        <v>99.16579731</v>
      </c>
      <c r="T143" s="46">
        <f t="shared" si="91"/>
        <v>100.0224547</v>
      </c>
      <c r="U143" s="46">
        <f t="shared" si="91"/>
        <v>102.5975886</v>
      </c>
      <c r="V143" s="46">
        <f t="shared" ref="V143:Y143" si="92">IF($N143=0,0,IF((O143/$N143*100)&gt;120,120,O143/$N143*100))</f>
        <v>16.79840986</v>
      </c>
      <c r="W143" s="46">
        <f t="shared" si="92"/>
        <v>54.41275139</v>
      </c>
      <c r="X143" s="46">
        <f t="shared" si="92"/>
        <v>81.66611564</v>
      </c>
      <c r="Y143" s="46">
        <f t="shared" si="92"/>
        <v>0</v>
      </c>
      <c r="Z143" s="2"/>
      <c r="AA143" s="3"/>
    </row>
    <row r="144" ht="14.25" customHeight="1">
      <c r="A144" s="1"/>
      <c r="B144" s="37"/>
      <c r="C144" s="39"/>
      <c r="D144" s="39"/>
      <c r="E144" s="39"/>
      <c r="F144" s="41"/>
      <c r="G144" s="39"/>
      <c r="H144" s="39"/>
      <c r="I144" s="39"/>
      <c r="J144" s="39"/>
      <c r="K144" s="39"/>
      <c r="L144" s="39"/>
      <c r="M144" s="39"/>
      <c r="N144" s="77"/>
      <c r="O144" s="39"/>
      <c r="P144" s="39"/>
      <c r="Q144" s="39"/>
      <c r="R144" s="39"/>
      <c r="S144" s="39"/>
      <c r="T144" s="39"/>
      <c r="U144" s="39"/>
      <c r="V144" s="39"/>
      <c r="W144" s="39"/>
      <c r="X144" s="39"/>
      <c r="Y144" s="39"/>
      <c r="Z144" s="2"/>
      <c r="AA144" s="3"/>
    </row>
    <row r="145" ht="14.25" customHeight="1">
      <c r="A145" s="1"/>
      <c r="B145" s="181"/>
      <c r="C145" s="182"/>
      <c r="D145" s="183"/>
      <c r="E145" s="183"/>
      <c r="F145" s="183"/>
      <c r="G145" s="184" t="s">
        <v>132</v>
      </c>
      <c r="H145" s="183"/>
      <c r="I145" s="183"/>
      <c r="J145" s="183"/>
      <c r="K145" s="185"/>
      <c r="L145" s="185"/>
      <c r="M145" s="185"/>
      <c r="N145" s="185"/>
      <c r="O145" s="185"/>
      <c r="P145" s="185"/>
      <c r="Q145" s="185"/>
      <c r="R145" s="185"/>
      <c r="S145" s="186">
        <f t="shared" ref="S145:U145" si="93">IF(SUM(K131,K134,K137:K139,K143)&gt;0,SUM(S131,S134,S137:S139,S143)/SUM(COUNTIF(K131,"&gt;0"),COUNTIF(K134,"&gt;0"),COUNTIF(K137:K139,"&gt;0"),COUNTIF(K143,"&gt;0")),0)</f>
        <v>99.78289926</v>
      </c>
      <c r="T145" s="186">
        <f t="shared" si="93"/>
        <v>101.1412206</v>
      </c>
      <c r="U145" s="186">
        <f t="shared" si="93"/>
        <v>50.78507803</v>
      </c>
      <c r="V145" s="186">
        <f t="shared" ref="V145:Y145" si="94">IF(SUM($N131,$N134,$N137:$N139,$N143)&gt;0,SUM(V131,V134,V137:V139,V143)/SUM(COUNTIF($N131,"&gt;0"),COUNTIF($N134,"&gt;0"),COUNTIF($N137:$N139,"&gt;0"),COUNTIF($N143,"&gt;0")),0)</f>
        <v>13.03375747</v>
      </c>
      <c r="W145" s="186">
        <f t="shared" si="94"/>
        <v>38.96781255</v>
      </c>
      <c r="X145" s="186">
        <f t="shared" si="94"/>
        <v>39.23970495</v>
      </c>
      <c r="Y145" s="186">
        <f t="shared" si="94"/>
        <v>16.66666667</v>
      </c>
      <c r="Z145" s="2"/>
      <c r="AA145" s="3"/>
    </row>
    <row r="146" ht="14.25" customHeight="1">
      <c r="A146" s="1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3"/>
    </row>
    <row r="147" ht="14.25" customHeight="1">
      <c r="A147" s="1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3"/>
    </row>
    <row r="148" ht="22.5" customHeight="1">
      <c r="A148" s="1"/>
      <c r="B148" s="4" t="s">
        <v>133</v>
      </c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6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2"/>
      <c r="AA148" s="3"/>
    </row>
    <row r="149" ht="15.75" customHeight="1">
      <c r="A149" s="1"/>
      <c r="B149" s="187" t="s">
        <v>2</v>
      </c>
      <c r="C149" s="8"/>
      <c r="D149" s="8"/>
      <c r="E149" s="8"/>
      <c r="F149" s="8"/>
      <c r="G149" s="8"/>
      <c r="H149" s="119"/>
      <c r="I149" s="188" t="s">
        <v>83</v>
      </c>
      <c r="J149" s="189" t="s">
        <v>3</v>
      </c>
      <c r="K149" s="11"/>
      <c r="L149" s="11"/>
      <c r="M149" s="11"/>
      <c r="N149" s="11"/>
      <c r="O149" s="11"/>
      <c r="P149" s="11"/>
      <c r="Q149" s="11"/>
      <c r="R149" s="12"/>
      <c r="S149" s="189" t="s">
        <v>4</v>
      </c>
      <c r="T149" s="11"/>
      <c r="U149" s="11"/>
      <c r="V149" s="11"/>
      <c r="W149" s="11"/>
      <c r="X149" s="11"/>
      <c r="Y149" s="12"/>
      <c r="Z149" s="2"/>
      <c r="AA149" s="3"/>
    </row>
    <row r="150" ht="15.0" customHeight="1">
      <c r="A150" s="1"/>
      <c r="B150" s="13"/>
      <c r="H150" s="122"/>
      <c r="I150" s="123"/>
      <c r="J150" s="190" t="s">
        <v>5</v>
      </c>
      <c r="K150" s="191" t="s">
        <v>6</v>
      </c>
      <c r="L150" s="17"/>
      <c r="M150" s="17"/>
      <c r="N150" s="18"/>
      <c r="O150" s="191" t="s">
        <v>7</v>
      </c>
      <c r="P150" s="17"/>
      <c r="Q150" s="17"/>
      <c r="R150" s="18"/>
      <c r="S150" s="191" t="s">
        <v>8</v>
      </c>
      <c r="T150" s="17"/>
      <c r="U150" s="18"/>
      <c r="V150" s="191" t="s">
        <v>9</v>
      </c>
      <c r="W150" s="17"/>
      <c r="X150" s="17"/>
      <c r="Y150" s="18"/>
      <c r="Z150" s="2"/>
      <c r="AA150" s="3"/>
    </row>
    <row r="151" ht="14.25" customHeight="1">
      <c r="A151" s="1"/>
      <c r="B151" s="19"/>
      <c r="C151" s="20"/>
      <c r="D151" s="20"/>
      <c r="E151" s="20"/>
      <c r="F151" s="20"/>
      <c r="G151" s="20"/>
      <c r="H151" s="126"/>
      <c r="I151" s="22"/>
      <c r="J151" s="22"/>
      <c r="K151" s="192" t="s">
        <v>10</v>
      </c>
      <c r="L151" s="192" t="s">
        <v>11</v>
      </c>
      <c r="M151" s="192" t="s">
        <v>12</v>
      </c>
      <c r="N151" s="192" t="s">
        <v>13</v>
      </c>
      <c r="O151" s="192" t="s">
        <v>10</v>
      </c>
      <c r="P151" s="192" t="s">
        <v>11</v>
      </c>
      <c r="Q151" s="192" t="s">
        <v>12</v>
      </c>
      <c r="R151" s="192" t="s">
        <v>13</v>
      </c>
      <c r="S151" s="192" t="s">
        <v>10</v>
      </c>
      <c r="T151" s="192" t="s">
        <v>11</v>
      </c>
      <c r="U151" s="192" t="s">
        <v>12</v>
      </c>
      <c r="V151" s="192" t="s">
        <v>10</v>
      </c>
      <c r="W151" s="192" t="s">
        <v>11</v>
      </c>
      <c r="X151" s="192" t="s">
        <v>12</v>
      </c>
      <c r="Y151" s="193" t="s">
        <v>13</v>
      </c>
      <c r="Z151" s="25"/>
      <c r="AA151" s="3"/>
    </row>
    <row r="152" ht="14.25" customHeight="1">
      <c r="A152" s="1"/>
      <c r="B152" s="194">
        <v>-1.0</v>
      </c>
      <c r="C152" s="27"/>
      <c r="D152" s="27"/>
      <c r="E152" s="27"/>
      <c r="F152" s="27"/>
      <c r="G152" s="27"/>
      <c r="H152" s="130"/>
      <c r="I152" s="195">
        <v>-2.0</v>
      </c>
      <c r="J152" s="195">
        <v>-3.0</v>
      </c>
      <c r="K152" s="195">
        <v>-4.0</v>
      </c>
      <c r="L152" s="195">
        <v>-5.0</v>
      </c>
      <c r="M152" s="195">
        <v>-6.0</v>
      </c>
      <c r="N152" s="195">
        <v>-7.0</v>
      </c>
      <c r="O152" s="195">
        <v>-8.0</v>
      </c>
      <c r="P152" s="195">
        <v>-9.0</v>
      </c>
      <c r="Q152" s="195">
        <v>-10.0</v>
      </c>
      <c r="R152" s="195">
        <v>-11.0</v>
      </c>
      <c r="S152" s="195">
        <v>-12.0</v>
      </c>
      <c r="T152" s="195">
        <v>-13.0</v>
      </c>
      <c r="U152" s="195">
        <v>-14.0</v>
      </c>
      <c r="V152" s="195">
        <v>-15.0</v>
      </c>
      <c r="W152" s="195">
        <v>-16.0</v>
      </c>
      <c r="X152" s="195">
        <v>-17.0</v>
      </c>
      <c r="Y152" s="195">
        <v>-18.0</v>
      </c>
      <c r="Z152" s="25"/>
      <c r="AA152" s="3"/>
    </row>
    <row r="153" ht="14.25" customHeight="1">
      <c r="A153" s="1"/>
      <c r="B153" s="32"/>
      <c r="C153" s="33"/>
      <c r="D153" s="33"/>
      <c r="E153" s="33"/>
      <c r="F153" s="34"/>
      <c r="G153" s="35"/>
      <c r="H153" s="35"/>
      <c r="I153" s="35"/>
      <c r="J153" s="35"/>
      <c r="K153" s="35"/>
      <c r="L153" s="35"/>
      <c r="M153" s="35"/>
      <c r="N153" s="102"/>
      <c r="O153" s="35"/>
      <c r="P153" s="35"/>
      <c r="Q153" s="35"/>
      <c r="R153" s="35"/>
      <c r="S153" s="35"/>
      <c r="T153" s="35"/>
      <c r="U153" s="35"/>
      <c r="V153" s="35"/>
      <c r="W153" s="35"/>
      <c r="X153" s="35"/>
      <c r="Y153" s="35"/>
      <c r="Z153" s="2"/>
      <c r="AA153" s="3"/>
    </row>
    <row r="154" ht="14.25" customHeight="1">
      <c r="A154" s="1"/>
      <c r="B154" s="37"/>
      <c r="C154" s="39" t="s">
        <v>134</v>
      </c>
      <c r="D154" s="39"/>
      <c r="E154" s="39"/>
      <c r="F154" s="39"/>
      <c r="G154" s="39"/>
      <c r="H154" s="39"/>
      <c r="I154" s="159">
        <f>SUM(I155:I156)</f>
        <v>19</v>
      </c>
      <c r="J154" s="103" t="s">
        <v>85</v>
      </c>
      <c r="K154" s="196">
        <f t="shared" ref="K154:R154" si="95">SUM(K155:K156)</f>
        <v>0</v>
      </c>
      <c r="L154" s="196">
        <f t="shared" si="95"/>
        <v>5</v>
      </c>
      <c r="M154" s="197">
        <f t="shared" si="95"/>
        <v>8</v>
      </c>
      <c r="N154" s="198">
        <f t="shared" si="95"/>
        <v>19</v>
      </c>
      <c r="O154" s="199">
        <f t="shared" si="95"/>
        <v>0</v>
      </c>
      <c r="P154" s="39">
        <f t="shared" si="95"/>
        <v>5</v>
      </c>
      <c r="Q154" s="39">
        <f t="shared" si="95"/>
        <v>8</v>
      </c>
      <c r="R154" s="39">
        <f t="shared" si="95"/>
        <v>19</v>
      </c>
      <c r="S154" s="46">
        <f t="shared" ref="S154:U154" si="96">IF(K154=0,0,IF((O154/K154*100)&gt;120,120,O154/K154*100))</f>
        <v>0</v>
      </c>
      <c r="T154" s="46">
        <f t="shared" si="96"/>
        <v>100</v>
      </c>
      <c r="U154" s="46">
        <f t="shared" si="96"/>
        <v>100</v>
      </c>
      <c r="V154" s="46">
        <f t="shared" ref="V154:Y154" si="97">IF($N154=0,0,IF((O154/$N154*100)&gt;120,120,O154/$N154*100))</f>
        <v>0</v>
      </c>
      <c r="W154" s="46">
        <f t="shared" si="97"/>
        <v>26.31578947</v>
      </c>
      <c r="X154" s="46">
        <f t="shared" si="97"/>
        <v>42.10526316</v>
      </c>
      <c r="Y154" s="46">
        <f t="shared" si="97"/>
        <v>100</v>
      </c>
      <c r="Z154" s="2"/>
      <c r="AA154" s="3"/>
    </row>
    <row r="155" ht="14.25" customHeight="1">
      <c r="A155" s="1"/>
      <c r="B155" s="37"/>
      <c r="C155" s="39"/>
      <c r="D155" s="109" t="s">
        <v>135</v>
      </c>
      <c r="E155" s="39"/>
      <c r="F155" s="39"/>
      <c r="G155" s="39"/>
      <c r="H155" s="39"/>
      <c r="I155" s="159">
        <f t="shared" ref="I155:I156" si="98">N155</f>
        <v>19</v>
      </c>
      <c r="J155" s="110" t="s">
        <v>87</v>
      </c>
      <c r="K155" s="200">
        <f>'Sub Koordinator Modif'!K368+'Sub Koordinator Modif'!K406+'Sub Koordinator Modif'!K437</f>
        <v>0</v>
      </c>
      <c r="L155" s="200">
        <f>'Sub Koordinator Modif'!L368+'Sub Koordinator Modif'!L406+'Sub Koordinator Modif'!L437</f>
        <v>5</v>
      </c>
      <c r="M155" s="200">
        <f>'Sub Koordinator Modif'!M368+'Sub Koordinator Modif'!M406+'Sub Koordinator Modif'!M437</f>
        <v>8</v>
      </c>
      <c r="N155" s="200">
        <f>'Sub Koordinator Modif'!N368+'Sub Koordinator Modif'!N406+'Sub Koordinator Modif'!N437</f>
        <v>19</v>
      </c>
      <c r="O155" s="200">
        <f>'Sub Koordinator Modif'!O368+'Sub Koordinator Modif'!O406+'Sub Koordinator Modif'!O437</f>
        <v>0</v>
      </c>
      <c r="P155" s="200">
        <f>'Sub Koordinator Modif'!P368+'Sub Koordinator Modif'!P406+'Sub Koordinator Modif'!P437</f>
        <v>5</v>
      </c>
      <c r="Q155" s="200">
        <f>'Sub Koordinator Modif'!Q368+'Sub Koordinator Modif'!Q406+'Sub Koordinator Modif'!Q437</f>
        <v>8</v>
      </c>
      <c r="R155" s="200">
        <f>'Sub Koordinator Modif'!R368+'Sub Koordinator Modif'!R406+'Sub Koordinator Modif'!R437</f>
        <v>19</v>
      </c>
      <c r="S155" s="111"/>
      <c r="T155" s="111"/>
      <c r="U155" s="111"/>
      <c r="V155" s="111"/>
      <c r="W155" s="111"/>
      <c r="X155" s="111"/>
      <c r="Y155" s="111"/>
      <c r="Z155" s="2"/>
      <c r="AA155" s="3"/>
    </row>
    <row r="156" ht="14.25" customHeight="1">
      <c r="A156" s="1"/>
      <c r="B156" s="37"/>
      <c r="C156" s="39"/>
      <c r="D156" s="109" t="s">
        <v>136</v>
      </c>
      <c r="E156" s="39"/>
      <c r="F156" s="39"/>
      <c r="G156" s="39"/>
      <c r="H156" s="39"/>
      <c r="I156" s="159">
        <f t="shared" si="98"/>
        <v>0</v>
      </c>
      <c r="J156" s="110" t="s">
        <v>66</v>
      </c>
      <c r="K156" s="200">
        <f>'Sub Koordinator Modif'!K369+'Sub Koordinator Modif'!K407+'Sub Koordinator Modif'!K438</f>
        <v>0</v>
      </c>
      <c r="L156" s="200">
        <f>'Sub Koordinator Modif'!L369+'Sub Koordinator Modif'!L407+'Sub Koordinator Modif'!L438</f>
        <v>0</v>
      </c>
      <c r="M156" s="200">
        <f>'Sub Koordinator Modif'!M369+'Sub Koordinator Modif'!M407+'Sub Koordinator Modif'!M438</f>
        <v>0</v>
      </c>
      <c r="N156" s="200">
        <f>'Sub Koordinator Modif'!N369+'Sub Koordinator Modif'!N407+'Sub Koordinator Modif'!N438</f>
        <v>0</v>
      </c>
      <c r="O156" s="200">
        <f>'Sub Koordinator Modif'!O369+'Sub Koordinator Modif'!O407+'Sub Koordinator Modif'!O438</f>
        <v>0</v>
      </c>
      <c r="P156" s="200">
        <f>'Sub Koordinator Modif'!P369+'Sub Koordinator Modif'!P407+'Sub Koordinator Modif'!P438</f>
        <v>0</v>
      </c>
      <c r="Q156" s="200">
        <f>'Sub Koordinator Modif'!Q369+'Sub Koordinator Modif'!Q407+'Sub Koordinator Modif'!Q438</f>
        <v>0</v>
      </c>
      <c r="R156" s="200">
        <f>'Sub Koordinator Modif'!R369+'Sub Koordinator Modif'!R407+'Sub Koordinator Modif'!R438</f>
        <v>0</v>
      </c>
      <c r="S156" s="111"/>
      <c r="T156" s="111"/>
      <c r="U156" s="111"/>
      <c r="V156" s="111"/>
      <c r="W156" s="111"/>
      <c r="X156" s="111"/>
      <c r="Y156" s="111"/>
      <c r="Z156" s="2"/>
      <c r="AA156" s="3"/>
    </row>
    <row r="157" ht="14.25" customHeight="1">
      <c r="A157" s="1"/>
      <c r="B157" s="37"/>
      <c r="C157" s="39" t="s">
        <v>137</v>
      </c>
      <c r="D157" s="39"/>
      <c r="E157" s="39"/>
      <c r="F157" s="39"/>
      <c r="G157" s="39"/>
      <c r="H157" s="39"/>
      <c r="I157" s="159">
        <f>SUM(I158:I159)</f>
        <v>7</v>
      </c>
      <c r="J157" s="103" t="s">
        <v>85</v>
      </c>
      <c r="K157" s="196">
        <f t="shared" ref="K157:P157" si="99">SUM(K158:K159)</f>
        <v>0</v>
      </c>
      <c r="L157" s="196">
        <f t="shared" si="99"/>
        <v>2</v>
      </c>
      <c r="M157" s="197">
        <f t="shared" si="99"/>
        <v>3</v>
      </c>
      <c r="N157" s="198">
        <f t="shared" si="99"/>
        <v>7</v>
      </c>
      <c r="O157" s="199">
        <f t="shared" si="99"/>
        <v>0</v>
      </c>
      <c r="P157" s="39">
        <f t="shared" si="99"/>
        <v>2</v>
      </c>
      <c r="Q157" s="200">
        <f>'Sub Koordinator Modif'!Q370+'Sub Koordinator Modif'!Q408+'Sub Koordinator Modif'!Q439</f>
        <v>3</v>
      </c>
      <c r="R157" s="39">
        <f>SUM(R158:R159)</f>
        <v>7</v>
      </c>
      <c r="S157" s="46">
        <f t="shared" ref="S157:U157" si="100">IF(K157=0,0,IF((O157/K157*100)&gt;120,120,O157/K157*100))</f>
        <v>0</v>
      </c>
      <c r="T157" s="46">
        <f t="shared" si="100"/>
        <v>100</v>
      </c>
      <c r="U157" s="46">
        <f t="shared" si="100"/>
        <v>100</v>
      </c>
      <c r="V157" s="46">
        <f t="shared" ref="V157:Y157" si="101">IF($N157=0,0,IF((O157/$N157*100)&gt;120,120,O157/$N157*100))</f>
        <v>0</v>
      </c>
      <c r="W157" s="46">
        <f t="shared" si="101"/>
        <v>28.57142857</v>
      </c>
      <c r="X157" s="46">
        <f t="shared" si="101"/>
        <v>42.85714286</v>
      </c>
      <c r="Y157" s="46">
        <f t="shared" si="101"/>
        <v>100</v>
      </c>
      <c r="Z157" s="2"/>
      <c r="AA157" s="3"/>
    </row>
    <row r="158" ht="14.25" customHeight="1">
      <c r="A158" s="1"/>
      <c r="B158" s="37"/>
      <c r="C158" s="39"/>
      <c r="D158" s="109" t="s">
        <v>138</v>
      </c>
      <c r="E158" s="39"/>
      <c r="F158" s="39"/>
      <c r="G158" s="39"/>
      <c r="H158" s="39"/>
      <c r="I158" s="159">
        <f t="shared" ref="I158:I161" si="102">N158</f>
        <v>7</v>
      </c>
      <c r="J158" s="110" t="s">
        <v>87</v>
      </c>
      <c r="K158" s="141">
        <f>'Sub Koordinator Modif'!K371+'Sub Koordinator Modif'!K409+'Sub Koordinator Modif'!K440</f>
        <v>0</v>
      </c>
      <c r="L158" s="201">
        <f>'Sub Koordinator Modif'!L371+'Sub Koordinator Modif'!L409+'Sub Koordinator Modif'!L440</f>
        <v>2</v>
      </c>
      <c r="M158" s="201">
        <f>'Sub Koordinator Modif'!M371+'Sub Koordinator Modif'!M409+'Sub Koordinator Modif'!M440</f>
        <v>3</v>
      </c>
      <c r="N158" s="202">
        <f>'Sub Koordinator Modif'!N371+'Sub Koordinator Modif'!N409+'Sub Koordinator Modif'!N440</f>
        <v>7</v>
      </c>
      <c r="O158" s="201">
        <f>'Sub Koordinator Modif'!O371+'Sub Koordinator Modif'!O409+'Sub Koordinator Modif'!O440</f>
        <v>0</v>
      </c>
      <c r="P158" s="201">
        <f>'Sub Koordinator Modif'!P371+'Sub Koordinator Modif'!P409+'Sub Koordinator Modif'!P440</f>
        <v>2</v>
      </c>
      <c r="Q158" s="201">
        <f>'Sub Koordinator Modif'!Q371+'Sub Koordinator Modif'!Q409+'Sub Koordinator Modif'!Q440</f>
        <v>3</v>
      </c>
      <c r="R158" s="201">
        <f>'Sub Koordinator Modif'!R371+'Sub Koordinator Modif'!R409+'Sub Koordinator Modif'!R440</f>
        <v>7</v>
      </c>
      <c r="S158" s="111"/>
      <c r="T158" s="111"/>
      <c r="U158" s="111"/>
      <c r="V158" s="111"/>
      <c r="W158" s="111"/>
      <c r="X158" s="111"/>
      <c r="Y158" s="111"/>
      <c r="Z158" s="2"/>
      <c r="AA158" s="3"/>
    </row>
    <row r="159" ht="14.25" customHeight="1">
      <c r="A159" s="1"/>
      <c r="B159" s="37"/>
      <c r="C159" s="39"/>
      <c r="D159" s="109" t="s">
        <v>139</v>
      </c>
      <c r="E159" s="39"/>
      <c r="F159" s="39"/>
      <c r="G159" s="39"/>
      <c r="H159" s="39"/>
      <c r="I159" s="159">
        <f t="shared" si="102"/>
        <v>0</v>
      </c>
      <c r="J159" s="110" t="s">
        <v>66</v>
      </c>
      <c r="K159" s="141">
        <f>'Sub Koordinator Modif'!K372+'Sub Koordinator Modif'!K410+'Sub Koordinator Modif'!K441</f>
        <v>0</v>
      </c>
      <c r="L159" s="201">
        <f>'Sub Koordinator Modif'!L372+'Sub Koordinator Modif'!L410+'Sub Koordinator Modif'!L441</f>
        <v>0</v>
      </c>
      <c r="M159" s="201">
        <f>'Sub Koordinator Modif'!M372+'Sub Koordinator Modif'!M410+'Sub Koordinator Modif'!M441</f>
        <v>0</v>
      </c>
      <c r="N159" s="202">
        <f>'Sub Koordinator Modif'!N372+'Sub Koordinator Modif'!N410+'Sub Koordinator Modif'!N441</f>
        <v>0</v>
      </c>
      <c r="O159" s="201">
        <f>'Sub Koordinator Modif'!O372+'Sub Koordinator Modif'!O410+'Sub Koordinator Modif'!O441</f>
        <v>0</v>
      </c>
      <c r="P159" s="201">
        <f>'Sub Koordinator Modif'!P372+'Sub Koordinator Modif'!P410+'Sub Koordinator Modif'!P441</f>
        <v>0</v>
      </c>
      <c r="Q159" s="201">
        <f>'Sub Koordinator Modif'!Q372+'Sub Koordinator Modif'!Q410+'Sub Koordinator Modif'!Q441</f>
        <v>0</v>
      </c>
      <c r="R159" s="201">
        <f>'Sub Koordinator Modif'!R372+'Sub Koordinator Modif'!R410+'Sub Koordinator Modif'!R441</f>
        <v>0</v>
      </c>
      <c r="S159" s="111"/>
      <c r="T159" s="111"/>
      <c r="U159" s="111"/>
      <c r="V159" s="111"/>
      <c r="W159" s="111"/>
      <c r="X159" s="111"/>
      <c r="Y159" s="111"/>
      <c r="Z159" s="2"/>
      <c r="AA159" s="3"/>
    </row>
    <row r="160" ht="16.5" customHeight="1">
      <c r="A160" s="1"/>
      <c r="B160" s="37"/>
      <c r="C160" s="39" t="s">
        <v>140</v>
      </c>
      <c r="D160" s="39"/>
      <c r="E160" s="39"/>
      <c r="F160" s="39"/>
      <c r="G160" s="39"/>
      <c r="H160" s="39"/>
      <c r="I160" s="159">
        <f t="shared" si="102"/>
        <v>9</v>
      </c>
      <c r="J160" s="103" t="s">
        <v>87</v>
      </c>
      <c r="K160" s="141">
        <f>'Sub Koordinator Modif'!K373+'Sub Koordinator Modif'!K411+'Sub Koordinator Modif'!K442</f>
        <v>0</v>
      </c>
      <c r="L160" s="201">
        <f>'Sub Koordinator Modif'!L373+'Sub Koordinator Modif'!L411+'Sub Koordinator Modif'!L442</f>
        <v>3</v>
      </c>
      <c r="M160" s="201">
        <f>'Sub Koordinator Modif'!M373+'Sub Koordinator Modif'!M411+'Sub Koordinator Modif'!M442</f>
        <v>5</v>
      </c>
      <c r="N160" s="202">
        <f>'Sub Koordinator Modif'!N373+'Sub Koordinator Modif'!N411+'Sub Koordinator Modif'!N442</f>
        <v>9</v>
      </c>
      <c r="O160" s="201">
        <f>'Sub Koordinator Modif'!O373+'Sub Koordinator Modif'!O411+'Sub Koordinator Modif'!O442</f>
        <v>0</v>
      </c>
      <c r="P160" s="201">
        <f>'Sub Koordinator Modif'!P373+'Sub Koordinator Modif'!P411+'Sub Koordinator Modif'!P442</f>
        <v>3</v>
      </c>
      <c r="Q160" s="201">
        <f>'Sub Koordinator Modif'!Q373+'Sub Koordinator Modif'!Q411+'Sub Koordinator Modif'!Q442</f>
        <v>5</v>
      </c>
      <c r="R160" s="201">
        <f>'Sub Koordinator Modif'!R373+'Sub Koordinator Modif'!R411+'Sub Koordinator Modif'!R442</f>
        <v>9</v>
      </c>
      <c r="S160" s="46">
        <f t="shared" ref="S160:U160" si="103">IF(K160=0,0,IF((O160/K160*100)&gt;120,120,O160/K160*100))</f>
        <v>0</v>
      </c>
      <c r="T160" s="46">
        <f t="shared" si="103"/>
        <v>100</v>
      </c>
      <c r="U160" s="46">
        <f t="shared" si="103"/>
        <v>100</v>
      </c>
      <c r="V160" s="46">
        <f t="shared" ref="V160:Y160" si="104">IF($N160=0,0,IF((O160/$N160*100)&gt;120,120,O160/$N160*100))</f>
        <v>0</v>
      </c>
      <c r="W160" s="46">
        <f t="shared" si="104"/>
        <v>33.33333333</v>
      </c>
      <c r="X160" s="46">
        <f t="shared" si="104"/>
        <v>55.55555556</v>
      </c>
      <c r="Y160" s="46">
        <f t="shared" si="104"/>
        <v>100</v>
      </c>
      <c r="Z160" s="2"/>
      <c r="AA160" s="3"/>
    </row>
    <row r="161" ht="14.25" customHeight="1">
      <c r="A161" s="1"/>
      <c r="B161" s="37"/>
      <c r="C161" s="39" t="s">
        <v>141</v>
      </c>
      <c r="D161" s="39"/>
      <c r="E161" s="39"/>
      <c r="F161" s="39"/>
      <c r="G161" s="39"/>
      <c r="H161" s="39"/>
      <c r="I161" s="159">
        <f t="shared" si="102"/>
        <v>6</v>
      </c>
      <c r="J161" s="103" t="s">
        <v>95</v>
      </c>
      <c r="K161" s="141">
        <f>'Sub Koordinator Modif'!K374+'Sub Koordinator Modif'!K412+'Sub Koordinator Modif'!K443</f>
        <v>2</v>
      </c>
      <c r="L161" s="201">
        <f>'Sub Koordinator Modif'!L374+'Sub Koordinator Modif'!L412+'Sub Koordinator Modif'!L443</f>
        <v>3</v>
      </c>
      <c r="M161" s="201">
        <f>'Sub Koordinator Modif'!M374+'Sub Koordinator Modif'!M412+'Sub Koordinator Modif'!M443</f>
        <v>4</v>
      </c>
      <c r="N161" s="202">
        <f>'Sub Koordinator Modif'!N374+'Sub Koordinator Modif'!N412+'Sub Koordinator Modif'!N443</f>
        <v>6</v>
      </c>
      <c r="O161" s="201">
        <f>'Sub Koordinator Modif'!O374+'Sub Koordinator Modif'!O412+'Sub Koordinator Modif'!O443</f>
        <v>2</v>
      </c>
      <c r="P161" s="201">
        <f>'Sub Koordinator Modif'!P374+'Sub Koordinator Modif'!P412+'Sub Koordinator Modif'!P443</f>
        <v>3</v>
      </c>
      <c r="Q161" s="201">
        <f>'Sub Koordinator Modif'!Q374+'Sub Koordinator Modif'!Q412+'Sub Koordinator Modif'!Q443</f>
        <v>4</v>
      </c>
      <c r="R161" s="201">
        <f>'Sub Koordinator Modif'!R374+'Sub Koordinator Modif'!R412+'Sub Koordinator Modif'!R443</f>
        <v>6</v>
      </c>
      <c r="S161" s="46">
        <f t="shared" ref="S161:U161" si="105">IF(K161=0,0,IF((O161/K161*100)&gt;120,120,O161/K161*100))</f>
        <v>100</v>
      </c>
      <c r="T161" s="46">
        <f t="shared" si="105"/>
        <v>100</v>
      </c>
      <c r="U161" s="46">
        <f t="shared" si="105"/>
        <v>100</v>
      </c>
      <c r="V161" s="46">
        <f t="shared" ref="V161:Y161" si="106">IF($N161=0,0,IF((O161/$N161*100)&gt;120,120,O161/$N161*100))</f>
        <v>33.33333333</v>
      </c>
      <c r="W161" s="46">
        <f t="shared" si="106"/>
        <v>50</v>
      </c>
      <c r="X161" s="46">
        <f t="shared" si="106"/>
        <v>66.66666667</v>
      </c>
      <c r="Y161" s="46">
        <f t="shared" si="106"/>
        <v>100</v>
      </c>
      <c r="Z161" s="2"/>
      <c r="AA161" s="3"/>
    </row>
    <row r="162" ht="14.25" customHeight="1">
      <c r="A162" s="1"/>
      <c r="B162" s="37"/>
      <c r="C162" s="39" t="s">
        <v>142</v>
      </c>
      <c r="D162" s="39"/>
      <c r="E162" s="39"/>
      <c r="F162" s="41"/>
      <c r="G162" s="39"/>
      <c r="H162" s="39"/>
      <c r="I162" s="159"/>
      <c r="J162" s="103" t="s">
        <v>35</v>
      </c>
      <c r="K162" s="203">
        <f t="shared" ref="K162:R162" si="107">IF(SUM($I163:$I165)=0,0,SUM(IF($I163&gt;0,K163/$I163*100,0),IF($I164&gt;0,K164/$I164*100,0),IF($I165&gt;0,K165/$I165*100,0))/COUNTIF($I163:$I165,"&gt;0"))</f>
        <v>6.427283161</v>
      </c>
      <c r="L162" s="203">
        <f t="shared" si="107"/>
        <v>14.35481226</v>
      </c>
      <c r="M162" s="204">
        <f t="shared" si="107"/>
        <v>50.78974695</v>
      </c>
      <c r="N162" s="205">
        <f t="shared" si="107"/>
        <v>95.38594669</v>
      </c>
      <c r="O162" s="206">
        <f t="shared" si="107"/>
        <v>6.775792024</v>
      </c>
      <c r="P162" s="203">
        <f t="shared" si="107"/>
        <v>15.19265453</v>
      </c>
      <c r="Q162" s="203">
        <f t="shared" si="107"/>
        <v>66.46390119</v>
      </c>
      <c r="R162" s="203">
        <f t="shared" si="107"/>
        <v>107.3979341</v>
      </c>
      <c r="S162" s="46">
        <f t="shared" ref="S162:U162" si="108">IF(K162=0,0,IF((O162/K162*100)&gt;120,120,O162/K162*100))</f>
        <v>105.4223356</v>
      </c>
      <c r="T162" s="46">
        <f t="shared" si="108"/>
        <v>105.8366648</v>
      </c>
      <c r="U162" s="46">
        <f t="shared" si="108"/>
        <v>120</v>
      </c>
      <c r="V162" s="46">
        <f t="shared" ref="V162:Y162" si="109">IF($N162=0,0,IF((O162/$N162*100)&gt;120,120,O162/$N162*100))</f>
        <v>7.103553782</v>
      </c>
      <c r="W162" s="46">
        <f t="shared" si="109"/>
        <v>15.92756067</v>
      </c>
      <c r="X162" s="46">
        <f t="shared" si="109"/>
        <v>69.67892388</v>
      </c>
      <c r="Y162" s="46">
        <f t="shared" si="109"/>
        <v>112.5930368</v>
      </c>
      <c r="Z162" s="2"/>
      <c r="AA162" s="3"/>
    </row>
    <row r="163" ht="14.25" customHeight="1">
      <c r="A163" s="1"/>
      <c r="B163" s="37"/>
      <c r="C163" s="39"/>
      <c r="D163" s="109" t="s">
        <v>143</v>
      </c>
      <c r="E163" s="39"/>
      <c r="F163" s="41"/>
      <c r="G163" s="39"/>
      <c r="H163" s="39"/>
      <c r="I163" s="207">
        <f>'Sub Koordinator Modif'!I376+'Sub Koordinator Modif'!I414</f>
        <v>90</v>
      </c>
      <c r="J163" s="110" t="s">
        <v>98</v>
      </c>
      <c r="K163" s="141">
        <f>'Sub Koordinator Modif'!K376+'Sub Koordinator Modif'!K414</f>
        <v>0</v>
      </c>
      <c r="L163" s="141">
        <f>'Sub Koordinator Modif'!L376+'Sub Koordinator Modif'!L414</f>
        <v>0</v>
      </c>
      <c r="M163" s="141">
        <f>'Sub Koordinator Modif'!M376+'Sub Koordinator Modif'!M414</f>
        <v>45</v>
      </c>
      <c r="N163" s="141">
        <f>'Sub Koordinator Modif'!N376+'Sub Koordinator Modif'!N414</f>
        <v>90</v>
      </c>
      <c r="O163" s="141">
        <f>'Sub Koordinator Modif'!O376+'Sub Koordinator Modif'!O414</f>
        <v>0</v>
      </c>
      <c r="P163" s="141">
        <f>'Sub Koordinator Modif'!P376+'Sub Koordinator Modif'!P414</f>
        <v>0</v>
      </c>
      <c r="Q163" s="141">
        <f>'Sub Koordinator Modif'!Q376+'Sub Koordinator Modif'!Q414</f>
        <v>70</v>
      </c>
      <c r="R163" s="141">
        <f>'Sub Koordinator Modif'!R376+'Sub Koordinator Modif'!R414</f>
        <v>90</v>
      </c>
      <c r="S163" s="111"/>
      <c r="T163" s="111"/>
      <c r="U163" s="111"/>
      <c r="V163" s="111"/>
      <c r="W163" s="111"/>
      <c r="X163" s="111"/>
      <c r="Y163" s="111"/>
      <c r="Z163" s="2"/>
      <c r="AA163" s="3"/>
    </row>
    <row r="164" ht="14.25" customHeight="1">
      <c r="A164" s="1"/>
      <c r="B164" s="37"/>
      <c r="C164" s="39"/>
      <c r="D164" s="109" t="s">
        <v>144</v>
      </c>
      <c r="E164" s="39"/>
      <c r="F164" s="41"/>
      <c r="G164" s="39"/>
      <c r="H164" s="39"/>
      <c r="I164" s="207">
        <f>'Sub Koordinator Modif'!I382+'Sub Koordinator Modif'!I416</f>
        <v>963</v>
      </c>
      <c r="J164" s="110" t="s">
        <v>98</v>
      </c>
      <c r="K164" s="141">
        <f>'Sub Koordinator Modif'!K382+'Sub Koordinator Modif'!K416</f>
        <v>135</v>
      </c>
      <c r="L164" s="141">
        <f>'Sub Koordinator Modif'!L382+'Sub Koordinator Modif'!L416</f>
        <v>288</v>
      </c>
      <c r="M164" s="141">
        <f>'Sub Koordinator Modif'!M382+'Sub Koordinator Modif'!M416</f>
        <v>555</v>
      </c>
      <c r="N164" s="141">
        <f>'Sub Koordinator Modif'!N382+'Sub Koordinator Modif'!N416</f>
        <v>926</v>
      </c>
      <c r="O164" s="141">
        <f>'Sub Koordinator Modif'!O382+'Sub Koordinator Modif'!O416</f>
        <v>140</v>
      </c>
      <c r="P164" s="141">
        <f>'Sub Koordinator Modif'!P382+'Sub Koordinator Modif'!P416</f>
        <v>297</v>
      </c>
      <c r="Q164" s="141">
        <f>'Sub Koordinator Modif'!Q382+'Sub Koordinator Modif'!Q416</f>
        <v>568</v>
      </c>
      <c r="R164" s="141">
        <f>'Sub Koordinator Modif'!R382+'Sub Koordinator Modif'!R416</f>
        <v>1197</v>
      </c>
      <c r="S164" s="111"/>
      <c r="T164" s="111"/>
      <c r="U164" s="111"/>
      <c r="V164" s="111"/>
      <c r="W164" s="111"/>
      <c r="X164" s="111"/>
      <c r="Y164" s="111"/>
      <c r="Z164" s="2"/>
      <c r="AA164" s="3"/>
    </row>
    <row r="165" ht="14.25" customHeight="1">
      <c r="A165" s="1"/>
      <c r="B165" s="37"/>
      <c r="C165" s="39"/>
      <c r="D165" s="109" t="s">
        <v>145</v>
      </c>
      <c r="E165" s="39"/>
      <c r="F165" s="41"/>
      <c r="G165" s="39"/>
      <c r="H165" s="39"/>
      <c r="I165" s="207">
        <f>'Sub Koordinator Modif'!I388+'Sub Koordinator Modif'!I419</f>
        <v>190</v>
      </c>
      <c r="J165" s="110" t="s">
        <v>98</v>
      </c>
      <c r="K165" s="141">
        <f>'Sub Koordinator Modif'!K388+'Sub Koordinator Modif'!K419</f>
        <v>10</v>
      </c>
      <c r="L165" s="141">
        <f>'Sub Koordinator Modif'!L388+'Sub Koordinator Modif'!L419</f>
        <v>25</v>
      </c>
      <c r="M165" s="141">
        <f>'Sub Koordinator Modif'!M388+'Sub Koordinator Modif'!M419</f>
        <v>85</v>
      </c>
      <c r="N165" s="141">
        <f>'Sub Koordinator Modif'!N388+'Sub Koordinator Modif'!N419</f>
        <v>171</v>
      </c>
      <c r="O165" s="141">
        <f>'Sub Koordinator Modif'!O388+'Sub Koordinator Modif'!O419</f>
        <v>11</v>
      </c>
      <c r="P165" s="141">
        <f>'Sub Koordinator Modif'!P388+'Sub Koordinator Modif'!P419</f>
        <v>28</v>
      </c>
      <c r="Q165" s="141">
        <f>'Sub Koordinator Modif'!Q388+'Sub Koordinator Modif'!Q419</f>
        <v>119</v>
      </c>
      <c r="R165" s="141">
        <f>'Sub Koordinator Modif'!R388+'Sub Koordinator Modif'!R419</f>
        <v>186</v>
      </c>
      <c r="S165" s="111"/>
      <c r="T165" s="111"/>
      <c r="U165" s="111"/>
      <c r="V165" s="111"/>
      <c r="W165" s="111"/>
      <c r="X165" s="111"/>
      <c r="Y165" s="111"/>
      <c r="Z165" s="2"/>
      <c r="AA165" s="3"/>
    </row>
    <row r="166" ht="14.25" customHeight="1">
      <c r="A166" s="1"/>
      <c r="B166" s="37"/>
      <c r="C166" s="39" t="s">
        <v>146</v>
      </c>
      <c r="D166" s="39"/>
      <c r="E166" s="39"/>
      <c r="F166" s="41"/>
      <c r="G166" s="39"/>
      <c r="H166" s="39"/>
      <c r="I166" s="159"/>
      <c r="J166" s="103" t="s">
        <v>35</v>
      </c>
      <c r="K166" s="208">
        <f>('Sub Koordinator Modif'!K394+'Sub Koordinator Modif'!K425)/2</f>
        <v>8.285714286</v>
      </c>
      <c r="L166" s="208">
        <f>('Sub Koordinator Modif'!L394+'Sub Koordinator Modif'!L425)/2</f>
        <v>17.21357143</v>
      </c>
      <c r="M166" s="208">
        <f>('Sub Koordinator Modif'!M394+'Sub Koordinator Modif'!M425)/2</f>
        <v>46.08571429</v>
      </c>
      <c r="N166" s="208">
        <f>('Sub Koordinator Modif'!N394+'Sub Koordinator Modif'!N425)/2</f>
        <v>100</v>
      </c>
      <c r="O166" s="208">
        <f>('Sub Koordinator Modif'!O394+'Sub Koordinator Modif'!O425)/2</f>
        <v>8.628571429</v>
      </c>
      <c r="P166" s="208">
        <f>('Sub Koordinator Modif'!P394+'Sub Koordinator Modif'!P425)/2</f>
        <v>17.88214286</v>
      </c>
      <c r="Q166" s="208">
        <f>('Sub Koordinator Modif'!Q394+'Sub Koordinator Modif'!Q425)/2</f>
        <v>35.525</v>
      </c>
      <c r="R166" s="208">
        <f>('Sub Koordinator Modif'!R394+'Sub Koordinator Modif'!R425)/2</f>
        <v>100</v>
      </c>
      <c r="S166" s="46">
        <f t="shared" ref="S166:U166" si="110">IF(K166=0,0,IF((O166/K166*100)&gt;120,120,O166/K166*100))</f>
        <v>104.137931</v>
      </c>
      <c r="T166" s="46">
        <f t="shared" si="110"/>
        <v>103.8839786</v>
      </c>
      <c r="U166" s="46">
        <f t="shared" si="110"/>
        <v>77.08462492</v>
      </c>
      <c r="V166" s="46">
        <f t="shared" ref="V166:Y166" si="111">IF($N166=0,0,IF((O166/$N166*100)&gt;120,120,O166/$N166*100))</f>
        <v>8.628571429</v>
      </c>
      <c r="W166" s="46">
        <f t="shared" si="111"/>
        <v>17.88214286</v>
      </c>
      <c r="X166" s="46">
        <f t="shared" si="111"/>
        <v>35.525</v>
      </c>
      <c r="Y166" s="46">
        <f t="shared" si="111"/>
        <v>100</v>
      </c>
      <c r="Z166" s="2"/>
      <c r="AA166" s="3"/>
    </row>
    <row r="167" ht="14.25" customHeight="1">
      <c r="A167" s="1"/>
      <c r="B167" s="37"/>
      <c r="C167" s="39"/>
      <c r="D167" s="39"/>
      <c r="E167" s="39"/>
      <c r="F167" s="41"/>
      <c r="G167" s="39"/>
      <c r="H167" s="39"/>
      <c r="I167" s="39"/>
      <c r="J167" s="39"/>
      <c r="K167" s="39"/>
      <c r="L167" s="39"/>
      <c r="M167" s="39"/>
      <c r="N167" s="77"/>
      <c r="O167" s="39"/>
      <c r="P167" s="39"/>
      <c r="Q167" s="39"/>
      <c r="R167" s="39"/>
      <c r="S167" s="39"/>
      <c r="T167" s="39"/>
      <c r="U167" s="39"/>
      <c r="V167" s="39"/>
      <c r="W167" s="39"/>
      <c r="X167" s="39"/>
      <c r="Y167" s="39"/>
      <c r="Z167" s="2"/>
      <c r="AA167" s="3"/>
    </row>
    <row r="168" ht="14.25" customHeight="1">
      <c r="A168" s="1"/>
      <c r="B168" s="209"/>
      <c r="C168" s="210"/>
      <c r="D168" s="211"/>
      <c r="E168" s="211"/>
      <c r="F168" s="211"/>
      <c r="G168" s="212" t="s">
        <v>147</v>
      </c>
      <c r="H168" s="211"/>
      <c r="I168" s="211"/>
      <c r="J168" s="211"/>
      <c r="K168" s="213"/>
      <c r="L168" s="213"/>
      <c r="M168" s="213"/>
      <c r="N168" s="213"/>
      <c r="O168" s="213"/>
      <c r="P168" s="213"/>
      <c r="Q168" s="213"/>
      <c r="R168" s="213"/>
      <c r="S168" s="214">
        <f t="shared" ref="S168:Y168" si="112">IF(SUM(K154,K157,K160:K162,K166)&gt;0,SUM(S154,S157,S160:S162,S166)/SUM(COUNTIF(K154,"&gt;0"),COUNTIF(K157,"&gt;0"),COUNTIF(K160:K162,"&gt;0"),COUNTIF(K166,"&gt;0")),0)</f>
        <v>103.1867555</v>
      </c>
      <c r="T168" s="214">
        <f t="shared" si="112"/>
        <v>101.6201072</v>
      </c>
      <c r="U168" s="214">
        <f t="shared" si="112"/>
        <v>99.51410415</v>
      </c>
      <c r="V168" s="214">
        <f t="shared" si="112"/>
        <v>8.177576424</v>
      </c>
      <c r="W168" s="214">
        <f t="shared" si="112"/>
        <v>57.3434183</v>
      </c>
      <c r="X168" s="214">
        <f t="shared" si="112"/>
        <v>52.06475869</v>
      </c>
      <c r="Y168" s="214">
        <f t="shared" si="112"/>
        <v>102.0988395</v>
      </c>
      <c r="Z168" s="2"/>
      <c r="AA168" s="3"/>
    </row>
    <row r="169" ht="14.25" customHeight="1">
      <c r="A169" s="1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3"/>
    </row>
    <row r="170" ht="14.25" customHeight="1">
      <c r="A170" s="1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3"/>
    </row>
    <row r="171" ht="14.25" customHeight="1">
      <c r="A171" s="1"/>
      <c r="B171" s="4" t="s">
        <v>148</v>
      </c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6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2"/>
      <c r="AA171" s="3"/>
    </row>
    <row r="172" ht="15.75" customHeight="1">
      <c r="A172" s="1"/>
      <c r="B172" s="215" t="s">
        <v>2</v>
      </c>
      <c r="C172" s="8"/>
      <c r="D172" s="8"/>
      <c r="E172" s="8"/>
      <c r="F172" s="8"/>
      <c r="G172" s="8"/>
      <c r="H172" s="8"/>
      <c r="I172" s="216"/>
      <c r="J172" s="217" t="s">
        <v>3</v>
      </c>
      <c r="K172" s="11"/>
      <c r="L172" s="11"/>
      <c r="M172" s="11"/>
      <c r="N172" s="11"/>
      <c r="O172" s="11"/>
      <c r="P172" s="11"/>
      <c r="Q172" s="11"/>
      <c r="R172" s="12"/>
      <c r="S172" s="217" t="s">
        <v>4</v>
      </c>
      <c r="T172" s="11"/>
      <c r="U172" s="11"/>
      <c r="V172" s="11"/>
      <c r="W172" s="11"/>
      <c r="X172" s="11"/>
      <c r="Y172" s="12"/>
      <c r="Z172" s="2"/>
      <c r="AA172" s="3"/>
    </row>
    <row r="173" ht="15.0" customHeight="1">
      <c r="A173" s="1"/>
      <c r="B173" s="13"/>
      <c r="I173" s="92"/>
      <c r="J173" s="218" t="s">
        <v>5</v>
      </c>
      <c r="K173" s="219" t="s">
        <v>6</v>
      </c>
      <c r="L173" s="17"/>
      <c r="M173" s="17"/>
      <c r="N173" s="18"/>
      <c r="O173" s="219" t="s">
        <v>7</v>
      </c>
      <c r="P173" s="17"/>
      <c r="Q173" s="17"/>
      <c r="R173" s="18"/>
      <c r="S173" s="219" t="s">
        <v>8</v>
      </c>
      <c r="T173" s="17"/>
      <c r="U173" s="18"/>
      <c r="V173" s="219" t="s">
        <v>9</v>
      </c>
      <c r="W173" s="17"/>
      <c r="X173" s="17"/>
      <c r="Y173" s="18"/>
      <c r="Z173" s="2"/>
      <c r="AA173" s="3"/>
    </row>
    <row r="174" ht="14.25" customHeight="1">
      <c r="A174" s="1"/>
      <c r="B174" s="19"/>
      <c r="C174" s="20"/>
      <c r="D174" s="20"/>
      <c r="E174" s="20"/>
      <c r="F174" s="20"/>
      <c r="G174" s="20"/>
      <c r="H174" s="20"/>
      <c r="I174" s="21"/>
      <c r="J174" s="22"/>
      <c r="K174" s="220" t="s">
        <v>10</v>
      </c>
      <c r="L174" s="220" t="s">
        <v>11</v>
      </c>
      <c r="M174" s="220" t="s">
        <v>12</v>
      </c>
      <c r="N174" s="220" t="s">
        <v>13</v>
      </c>
      <c r="O174" s="220" t="s">
        <v>10</v>
      </c>
      <c r="P174" s="220" t="s">
        <v>11</v>
      </c>
      <c r="Q174" s="220" t="s">
        <v>12</v>
      </c>
      <c r="R174" s="220" t="s">
        <v>13</v>
      </c>
      <c r="S174" s="220" t="s">
        <v>10</v>
      </c>
      <c r="T174" s="220" t="s">
        <v>11</v>
      </c>
      <c r="U174" s="220" t="s">
        <v>12</v>
      </c>
      <c r="V174" s="220" t="s">
        <v>10</v>
      </c>
      <c r="W174" s="220" t="s">
        <v>11</v>
      </c>
      <c r="X174" s="220" t="s">
        <v>12</v>
      </c>
      <c r="Y174" s="221" t="s">
        <v>13</v>
      </c>
      <c r="Z174" s="25"/>
      <c r="AA174" s="3"/>
    </row>
    <row r="175" ht="14.25" customHeight="1">
      <c r="A175" s="1"/>
      <c r="B175" s="222">
        <v>-1.0</v>
      </c>
      <c r="C175" s="27"/>
      <c r="D175" s="27"/>
      <c r="E175" s="27"/>
      <c r="F175" s="27"/>
      <c r="G175" s="27"/>
      <c r="H175" s="27"/>
      <c r="I175" s="223"/>
      <c r="J175" s="224">
        <v>-2.0</v>
      </c>
      <c r="K175" s="224">
        <v>-3.0</v>
      </c>
      <c r="L175" s="224">
        <v>-4.0</v>
      </c>
      <c r="M175" s="224">
        <v>-5.0</v>
      </c>
      <c r="N175" s="224">
        <v>-6.0</v>
      </c>
      <c r="O175" s="224">
        <v>-7.0</v>
      </c>
      <c r="P175" s="224">
        <v>-8.0</v>
      </c>
      <c r="Q175" s="224">
        <v>-9.0</v>
      </c>
      <c r="R175" s="224">
        <v>-10.0</v>
      </c>
      <c r="S175" s="224">
        <v>-11.0</v>
      </c>
      <c r="T175" s="224">
        <v>-12.0</v>
      </c>
      <c r="U175" s="224">
        <v>-13.0</v>
      </c>
      <c r="V175" s="224">
        <v>-14.0</v>
      </c>
      <c r="W175" s="224">
        <v>-15.0</v>
      </c>
      <c r="X175" s="224">
        <v>-16.0</v>
      </c>
      <c r="Y175" s="224">
        <v>-17.0</v>
      </c>
      <c r="Z175" s="25"/>
      <c r="AA175" s="3"/>
    </row>
    <row r="176" ht="14.25" customHeight="1">
      <c r="A176" s="1"/>
      <c r="B176" s="32"/>
      <c r="C176" s="33"/>
      <c r="D176" s="33"/>
      <c r="E176" s="33"/>
      <c r="F176" s="34"/>
      <c r="G176" s="35"/>
      <c r="H176" s="35"/>
      <c r="I176" s="35"/>
      <c r="J176" s="35"/>
      <c r="K176" s="35"/>
      <c r="L176" s="35"/>
      <c r="M176" s="35"/>
      <c r="N176" s="102"/>
      <c r="O176" s="35"/>
      <c r="P176" s="35"/>
      <c r="Q176" s="35"/>
      <c r="R176" s="35"/>
      <c r="S176" s="35"/>
      <c r="T176" s="35"/>
      <c r="U176" s="35"/>
      <c r="V176" s="35"/>
      <c r="W176" s="35"/>
      <c r="X176" s="35"/>
      <c r="Y176" s="35"/>
      <c r="Z176" s="2"/>
      <c r="AA176" s="3"/>
    </row>
    <row r="177" ht="14.25" customHeight="1">
      <c r="A177" s="1"/>
      <c r="B177" s="37"/>
      <c r="C177" s="39" t="s">
        <v>149</v>
      </c>
      <c r="D177" s="39"/>
      <c r="E177" s="39"/>
      <c r="F177" s="39"/>
      <c r="G177" s="39"/>
      <c r="H177" s="39"/>
      <c r="I177" s="103">
        <f>'Sub Koordinator Modif'!I468</f>
        <v>1562</v>
      </c>
      <c r="J177" s="103" t="s">
        <v>98</v>
      </c>
      <c r="K177" s="42">
        <f>'Sub Koordinator Modif'!K468</f>
        <v>0</v>
      </c>
      <c r="L177" s="42">
        <f>'Sub Koordinator Modif'!L468</f>
        <v>0</v>
      </c>
      <c r="M177" s="42">
        <f>'Sub Koordinator Modif'!M468</f>
        <v>1562</v>
      </c>
      <c r="N177" s="42">
        <f>'Sub Koordinator Modif'!N468</f>
        <v>1562</v>
      </c>
      <c r="O177" s="42">
        <f>'Sub Koordinator Modif'!O468</f>
        <v>0</v>
      </c>
      <c r="P177" s="42">
        <f>'Sub Koordinator Modif'!P468</f>
        <v>0</v>
      </c>
      <c r="Q177" s="42">
        <f>'Sub Koordinator Modif'!Q468</f>
        <v>1562</v>
      </c>
      <c r="R177" s="42">
        <f>'Sub Koordinator Modif'!R468</f>
        <v>1562</v>
      </c>
      <c r="S177" s="46">
        <f t="shared" ref="S177:U177" si="113">IF(K177=0,0,IF((O177/K177*100)&gt;120,120,O177/K177*100))</f>
        <v>0</v>
      </c>
      <c r="T177" s="46">
        <f t="shared" si="113"/>
        <v>0</v>
      </c>
      <c r="U177" s="46">
        <f t="shared" si="113"/>
        <v>100</v>
      </c>
      <c r="V177" s="46">
        <f t="shared" ref="V177:Y177" si="114">IF($N177=0,0,IF((O177/$N177*100)&gt;120,120,O177/$N177*100))</f>
        <v>0</v>
      </c>
      <c r="W177" s="46">
        <f t="shared" si="114"/>
        <v>0</v>
      </c>
      <c r="X177" s="46">
        <f t="shared" si="114"/>
        <v>100</v>
      </c>
      <c r="Y177" s="46">
        <f t="shared" si="114"/>
        <v>100</v>
      </c>
      <c r="Z177" s="2"/>
      <c r="AA177" s="3"/>
    </row>
    <row r="178" ht="14.25" customHeight="1">
      <c r="A178" s="1"/>
      <c r="B178" s="37"/>
      <c r="C178" s="39" t="s">
        <v>150</v>
      </c>
      <c r="D178" s="39"/>
      <c r="E178" s="39"/>
      <c r="F178" s="39"/>
      <c r="G178" s="39"/>
      <c r="H178" s="39"/>
      <c r="I178" s="103">
        <f>'Sub Koordinator Modif'!I469</f>
        <v>15698</v>
      </c>
      <c r="J178" s="103" t="s">
        <v>98</v>
      </c>
      <c r="K178" s="42">
        <f>'Sub Koordinator Modif'!K469</f>
        <v>0</v>
      </c>
      <c r="L178" s="42">
        <f>'Sub Koordinator Modif'!L469</f>
        <v>0</v>
      </c>
      <c r="M178" s="42">
        <f>'Sub Koordinator Modif'!M469</f>
        <v>15698</v>
      </c>
      <c r="N178" s="42">
        <f>'Sub Koordinator Modif'!N469</f>
        <v>15698</v>
      </c>
      <c r="O178" s="42">
        <f>'Sub Koordinator Modif'!O469</f>
        <v>0</v>
      </c>
      <c r="P178" s="42">
        <f>'Sub Koordinator Modif'!P469</f>
        <v>0</v>
      </c>
      <c r="Q178" s="42">
        <f>'Sub Koordinator Modif'!Q469</f>
        <v>15698</v>
      </c>
      <c r="R178" s="42">
        <f>'Sub Koordinator Modif'!R469</f>
        <v>15698</v>
      </c>
      <c r="S178" s="46">
        <f t="shared" ref="S178:U178" si="115">IF(K178=0,0,IF((O178/K178*100)&gt;120,120,O178/K178*100))</f>
        <v>0</v>
      </c>
      <c r="T178" s="46">
        <f t="shared" si="115"/>
        <v>0</v>
      </c>
      <c r="U178" s="46">
        <f t="shared" si="115"/>
        <v>100</v>
      </c>
      <c r="V178" s="46">
        <f t="shared" ref="V178:Y178" si="116">IF($N178=0,0,IF((O178/$N178*100)&gt;120,120,O178/$N178*100))</f>
        <v>0</v>
      </c>
      <c r="W178" s="46">
        <f t="shared" si="116"/>
        <v>0</v>
      </c>
      <c r="X178" s="46">
        <f t="shared" si="116"/>
        <v>100</v>
      </c>
      <c r="Y178" s="46">
        <f t="shared" si="116"/>
        <v>100</v>
      </c>
      <c r="Z178" s="2"/>
      <c r="AA178" s="3"/>
    </row>
    <row r="179" ht="14.25" customHeight="1">
      <c r="A179" s="1"/>
      <c r="B179" s="37"/>
      <c r="C179" s="39" t="s">
        <v>151</v>
      </c>
      <c r="D179" s="39"/>
      <c r="E179" s="39"/>
      <c r="F179" s="39"/>
      <c r="G179" s="39"/>
      <c r="H179" s="39"/>
      <c r="I179" s="103">
        <f>'Sub Koordinator Modif'!I481</f>
        <v>100</v>
      </c>
      <c r="J179" s="103" t="s">
        <v>35</v>
      </c>
      <c r="K179" s="42">
        <f>'Sub Koordinator Modif'!K481</f>
        <v>0</v>
      </c>
      <c r="L179" s="42">
        <f>'Sub Koordinator Modif'!L481</f>
        <v>0</v>
      </c>
      <c r="M179" s="42">
        <f>'Sub Koordinator Modif'!M481</f>
        <v>60</v>
      </c>
      <c r="N179" s="42">
        <f>'Sub Koordinator Modif'!N481</f>
        <v>100</v>
      </c>
      <c r="O179" s="42">
        <f>'Sub Koordinator Modif'!O481</f>
        <v>0</v>
      </c>
      <c r="P179" s="42">
        <f>'Sub Koordinator Modif'!P481</f>
        <v>52.86</v>
      </c>
      <c r="Q179" s="42">
        <f>'Sub Koordinator Modif'!Q481</f>
        <v>100</v>
      </c>
      <c r="R179" s="42" t="str">
        <f>'Sub Koordinator Modif'!R481</f>
        <v/>
      </c>
      <c r="S179" s="46">
        <f t="shared" ref="S179:U179" si="117">IF(K179=0,0,IF((O179/K179*100)&gt;120,120,O179/K179*100))</f>
        <v>0</v>
      </c>
      <c r="T179" s="46">
        <f t="shared" si="117"/>
        <v>0</v>
      </c>
      <c r="U179" s="46">
        <f t="shared" si="117"/>
        <v>120</v>
      </c>
      <c r="V179" s="46">
        <f t="shared" ref="V179:Y179" si="118">IF($N179=0,0,IF((O179/$N179*100)&gt;120,120,O179/$N179*100))</f>
        <v>0</v>
      </c>
      <c r="W179" s="46">
        <f t="shared" si="118"/>
        <v>52.86</v>
      </c>
      <c r="X179" s="46">
        <f t="shared" si="118"/>
        <v>100</v>
      </c>
      <c r="Y179" s="46">
        <f t="shared" si="118"/>
        <v>0</v>
      </c>
      <c r="Z179" s="2"/>
      <c r="AA179" s="3"/>
    </row>
    <row r="180" ht="14.25" customHeight="1">
      <c r="A180" s="1"/>
      <c r="B180" s="37"/>
      <c r="C180" s="39" t="s">
        <v>152</v>
      </c>
      <c r="D180" s="39"/>
      <c r="E180" s="39"/>
      <c r="F180" s="39"/>
      <c r="G180" s="39"/>
      <c r="H180" s="39"/>
      <c r="I180" s="103">
        <f>'Sub Koordinator Modif'!I456</f>
        <v>100</v>
      </c>
      <c r="J180" s="103" t="s">
        <v>35</v>
      </c>
      <c r="K180" s="42">
        <f>'Sub Koordinator Modif'!K456</f>
        <v>25</v>
      </c>
      <c r="L180" s="42">
        <f>'Sub Koordinator Modif'!L456</f>
        <v>50</v>
      </c>
      <c r="M180" s="42">
        <f>'Sub Koordinator Modif'!M456</f>
        <v>75</v>
      </c>
      <c r="N180" s="42">
        <f>'Sub Koordinator Modif'!N456</f>
        <v>100</v>
      </c>
      <c r="O180" s="42">
        <f>'Sub Koordinator Modif'!O456</f>
        <v>25</v>
      </c>
      <c r="P180" s="42">
        <v>42.0</v>
      </c>
      <c r="Q180" s="42">
        <f>'Sub Koordinator Modif'!Q456</f>
        <v>75</v>
      </c>
      <c r="R180" s="42">
        <f>'Sub Koordinator Modif'!R456</f>
        <v>100</v>
      </c>
      <c r="S180" s="46">
        <f t="shared" ref="S180:U180" si="119">IF(K180=0,0,IF((O180/K180*100)&gt;120,120,O180/K180*100))</f>
        <v>100</v>
      </c>
      <c r="T180" s="46">
        <f t="shared" si="119"/>
        <v>84</v>
      </c>
      <c r="U180" s="46">
        <f t="shared" si="119"/>
        <v>100</v>
      </c>
      <c r="V180" s="46">
        <f t="shared" ref="V180:Y180" si="120">IF($N180=0,0,IF((O180/$N180*100)&gt;120,120,O180/$N180*100))</f>
        <v>25</v>
      </c>
      <c r="W180" s="46">
        <f t="shared" si="120"/>
        <v>42</v>
      </c>
      <c r="X180" s="46">
        <f t="shared" si="120"/>
        <v>75</v>
      </c>
      <c r="Y180" s="46">
        <f t="shared" si="120"/>
        <v>100</v>
      </c>
      <c r="Z180" s="2"/>
      <c r="AA180" s="3"/>
    </row>
    <row r="181" ht="14.25" customHeight="1">
      <c r="A181" s="1"/>
      <c r="B181" s="37"/>
      <c r="C181" s="39" t="s">
        <v>153</v>
      </c>
      <c r="D181" s="39"/>
      <c r="E181" s="39"/>
      <c r="F181" s="39"/>
      <c r="G181" s="39"/>
      <c r="H181" s="39"/>
      <c r="I181" s="103">
        <f>'Sub Koordinator Modif'!I482</f>
        <v>42</v>
      </c>
      <c r="J181" s="103" t="s">
        <v>85</v>
      </c>
      <c r="K181" s="42">
        <f>'Sub Koordinator Modif'!K482</f>
        <v>5</v>
      </c>
      <c r="L181" s="42">
        <f>'Sub Koordinator Modif'!L482</f>
        <v>17</v>
      </c>
      <c r="M181" s="42">
        <f>'Sub Koordinator Modif'!M482</f>
        <v>26</v>
      </c>
      <c r="N181" s="42">
        <f>'Sub Koordinator Modif'!N482</f>
        <v>42</v>
      </c>
      <c r="O181" s="42">
        <f>'Sub Koordinator Modif'!O482</f>
        <v>5</v>
      </c>
      <c r="P181" s="42">
        <f>'Sub Koordinator Modif'!P482</f>
        <v>17</v>
      </c>
      <c r="Q181" s="42">
        <f>'Sub Koordinator Modif'!Q482</f>
        <v>26</v>
      </c>
      <c r="R181" s="42" t="str">
        <f>'Sub Koordinator Modif'!R482</f>
        <v/>
      </c>
      <c r="S181" s="46">
        <f t="shared" ref="S181:U181" si="121">IF(K181=0,0,IF((O181/K181*100)&gt;120,120,O181/K181*100))</f>
        <v>100</v>
      </c>
      <c r="T181" s="46">
        <f t="shared" si="121"/>
        <v>100</v>
      </c>
      <c r="U181" s="46">
        <f t="shared" si="121"/>
        <v>100</v>
      </c>
      <c r="V181" s="46">
        <f t="shared" ref="V181:Y181" si="122">IF($N181=0,0,IF((O181/$N181*100)&gt;120,120,O181/$N181*100))</f>
        <v>11.9047619</v>
      </c>
      <c r="W181" s="46">
        <f t="shared" si="122"/>
        <v>40.47619048</v>
      </c>
      <c r="X181" s="46">
        <f t="shared" si="122"/>
        <v>61.9047619</v>
      </c>
      <c r="Y181" s="46">
        <f t="shared" si="122"/>
        <v>0</v>
      </c>
      <c r="Z181" s="2"/>
      <c r="AA181" s="3"/>
    </row>
    <row r="182" ht="14.25" customHeight="1">
      <c r="A182" s="1"/>
      <c r="B182" s="37"/>
      <c r="C182" s="39" t="s">
        <v>154</v>
      </c>
      <c r="D182" s="39"/>
      <c r="E182" s="39"/>
      <c r="F182" s="39"/>
      <c r="G182" s="39"/>
      <c r="H182" s="39"/>
      <c r="I182" s="103">
        <f>'Sub Koordinator Modif'!I483</f>
        <v>8</v>
      </c>
      <c r="J182" s="103" t="s">
        <v>155</v>
      </c>
      <c r="K182" s="42">
        <f>'Sub Koordinator Modif'!K483</f>
        <v>1</v>
      </c>
      <c r="L182" s="42">
        <f>'Sub Koordinator Modif'!L483</f>
        <v>3</v>
      </c>
      <c r="M182" s="42">
        <f>'Sub Koordinator Modif'!M483</f>
        <v>5</v>
      </c>
      <c r="N182" s="42">
        <f>'Sub Koordinator Modif'!N483</f>
        <v>8</v>
      </c>
      <c r="O182" s="42">
        <f>'Sub Koordinator Modif'!O483</f>
        <v>1</v>
      </c>
      <c r="P182" s="42">
        <f>'Sub Koordinator Modif'!P483</f>
        <v>4</v>
      </c>
      <c r="Q182" s="42">
        <f>'Sub Koordinator Modif'!Q483</f>
        <v>6</v>
      </c>
      <c r="R182" s="42" t="str">
        <f>'Sub Koordinator Modif'!R483</f>
        <v/>
      </c>
      <c r="S182" s="46">
        <f t="shared" ref="S182:U182" si="123">IF(K182=0,0,IF((O182/K182*100)&gt;120,120,O182/K182*100))</f>
        <v>100</v>
      </c>
      <c r="T182" s="46">
        <f t="shared" si="123"/>
        <v>120</v>
      </c>
      <c r="U182" s="46">
        <f t="shared" si="123"/>
        <v>120</v>
      </c>
      <c r="V182" s="46">
        <f t="shared" ref="V182:Y182" si="124">IF($N182=0,0,IF((O182/$N182*100)&gt;120,120,O182/$N182*100))</f>
        <v>12.5</v>
      </c>
      <c r="W182" s="46">
        <f t="shared" si="124"/>
        <v>50</v>
      </c>
      <c r="X182" s="46">
        <f t="shared" si="124"/>
        <v>75</v>
      </c>
      <c r="Y182" s="46">
        <f t="shared" si="124"/>
        <v>0</v>
      </c>
      <c r="Z182" s="2"/>
      <c r="AA182" s="3"/>
    </row>
    <row r="183" ht="14.25" customHeight="1">
      <c r="A183" s="1"/>
      <c r="B183" s="37"/>
      <c r="C183" s="39" t="s">
        <v>156</v>
      </c>
      <c r="D183" s="39"/>
      <c r="E183" s="39"/>
      <c r="F183" s="39"/>
      <c r="G183" s="39"/>
      <c r="H183" s="39"/>
      <c r="I183" s="103">
        <f>'Sub Koordinator Modif'!I484</f>
        <v>8</v>
      </c>
      <c r="J183" s="103" t="s">
        <v>155</v>
      </c>
      <c r="K183" s="42">
        <f>'Sub Koordinator Modif'!K484</f>
        <v>0</v>
      </c>
      <c r="L183" s="42">
        <f>'Sub Koordinator Modif'!L484</f>
        <v>0</v>
      </c>
      <c r="M183" s="42">
        <f>'Sub Koordinator Modif'!M484</f>
        <v>0</v>
      </c>
      <c r="N183" s="42">
        <f>'Sub Koordinator Modif'!N484</f>
        <v>8</v>
      </c>
      <c r="O183" s="42">
        <f>'Sub Koordinator Modif'!O484</f>
        <v>0</v>
      </c>
      <c r="P183" s="42">
        <f>'Sub Koordinator Modif'!P484</f>
        <v>0</v>
      </c>
      <c r="Q183" s="42">
        <f>'Sub Koordinator Modif'!Q484</f>
        <v>6</v>
      </c>
      <c r="R183" s="42" t="str">
        <f>'Sub Koordinator Modif'!R484</f>
        <v/>
      </c>
      <c r="S183" s="46">
        <f t="shared" ref="S183:U183" si="125">IF(K183=0,0,IF((O183/K183*100)&gt;120,120,O183/K183*100))</f>
        <v>0</v>
      </c>
      <c r="T183" s="46">
        <f t="shared" si="125"/>
        <v>0</v>
      </c>
      <c r="U183" s="46">
        <f t="shared" si="125"/>
        <v>0</v>
      </c>
      <c r="V183" s="46">
        <f t="shared" ref="V183:Y183" si="126">IF($N183=0,0,IF((O183/$N183*100)&gt;120,120,O183/$N183*100))</f>
        <v>0</v>
      </c>
      <c r="W183" s="46">
        <f t="shared" si="126"/>
        <v>0</v>
      </c>
      <c r="X183" s="46">
        <f t="shared" si="126"/>
        <v>75</v>
      </c>
      <c r="Y183" s="46">
        <f t="shared" si="126"/>
        <v>0</v>
      </c>
      <c r="Z183" s="2"/>
      <c r="AA183" s="3"/>
    </row>
    <row r="184" ht="14.25" customHeight="1">
      <c r="A184" s="225"/>
      <c r="B184" s="37"/>
      <c r="C184" s="38" t="s">
        <v>157</v>
      </c>
      <c r="D184" s="38"/>
      <c r="E184" s="38"/>
      <c r="F184" s="38"/>
      <c r="G184" s="38"/>
      <c r="H184" s="38"/>
      <c r="I184" s="226">
        <f>'Sub Koordinator Modif'!I485</f>
        <v>6</v>
      </c>
      <c r="J184" s="226" t="s">
        <v>158</v>
      </c>
      <c r="K184" s="227">
        <f>'Sub Koordinator Modif'!K485</f>
        <v>2</v>
      </c>
      <c r="L184" s="227">
        <f>'Sub Koordinator Modif'!L485</f>
        <v>3</v>
      </c>
      <c r="M184" s="227">
        <f>'Sub Koordinator Modif'!M485</f>
        <v>4</v>
      </c>
      <c r="N184" s="227">
        <f>'Sub Koordinator Modif'!N485</f>
        <v>6</v>
      </c>
      <c r="O184" s="227">
        <f>'Sub Koordinator Modif'!O485</f>
        <v>3</v>
      </c>
      <c r="P184" s="227">
        <f>'Sub Koordinator Modif'!P485</f>
        <v>11</v>
      </c>
      <c r="Q184" s="227">
        <f>'Sub Koordinator Modif'!Q485</f>
        <v>18</v>
      </c>
      <c r="R184" s="227" t="str">
        <f>'Sub Koordinator Modif'!R485</f>
        <v/>
      </c>
      <c r="S184" s="106">
        <f t="shared" ref="S184:U184" si="127">IF(K184=0,0,IF((O184/K184*100)&gt;120,120,O184/K184*100))</f>
        <v>120</v>
      </c>
      <c r="T184" s="106">
        <f t="shared" si="127"/>
        <v>120</v>
      </c>
      <c r="U184" s="106">
        <f t="shared" si="127"/>
        <v>120</v>
      </c>
      <c r="V184" s="106">
        <f t="shared" ref="V184:Y184" si="128">IF($N184=0,0,IF((O184/$N184*100)&gt;120,120,O184/$N184*100))</f>
        <v>50</v>
      </c>
      <c r="W184" s="106">
        <f t="shared" si="128"/>
        <v>120</v>
      </c>
      <c r="X184" s="106">
        <f t="shared" si="128"/>
        <v>120</v>
      </c>
      <c r="Y184" s="106">
        <f t="shared" si="128"/>
        <v>0</v>
      </c>
      <c r="Z184" s="228"/>
      <c r="AA184" s="229"/>
    </row>
    <row r="185" ht="16.5" customHeight="1">
      <c r="A185" s="1"/>
      <c r="B185" s="37"/>
      <c r="C185" s="39" t="s">
        <v>159</v>
      </c>
      <c r="D185" s="39"/>
      <c r="E185" s="39"/>
      <c r="F185" s="39"/>
      <c r="G185" s="39"/>
      <c r="H185" s="39"/>
      <c r="I185" s="103">
        <f>'Sub Koordinator Modif'!I486</f>
        <v>18</v>
      </c>
      <c r="J185" s="103" t="s">
        <v>160</v>
      </c>
      <c r="K185" s="42">
        <f>'Sub Koordinator Modif'!K486</f>
        <v>0</v>
      </c>
      <c r="L185" s="42">
        <f>'Sub Koordinator Modif'!L486</f>
        <v>0</v>
      </c>
      <c r="M185" s="42">
        <f>'Sub Koordinator Modif'!M486</f>
        <v>0</v>
      </c>
      <c r="N185" s="42">
        <f>'Sub Koordinator Modif'!N486</f>
        <v>18</v>
      </c>
      <c r="O185" s="42">
        <v>0.0</v>
      </c>
      <c r="P185" s="227">
        <f>'Sub Koordinator Modif'!P486</f>
        <v>0</v>
      </c>
      <c r="Q185" s="42">
        <f>'Sub Koordinator Modif'!Q486</f>
        <v>1</v>
      </c>
      <c r="R185" s="42" t="str">
        <f>'Sub Koordinator Modif'!R486</f>
        <v/>
      </c>
      <c r="S185" s="46">
        <f t="shared" ref="S185:U185" si="129">IF(K185=0,0,IF((O185/K185*100)&gt;120,120,O185/K185*100))</f>
        <v>0</v>
      </c>
      <c r="T185" s="46">
        <f t="shared" si="129"/>
        <v>0</v>
      </c>
      <c r="U185" s="46">
        <f t="shared" si="129"/>
        <v>0</v>
      </c>
      <c r="V185" s="46">
        <f t="shared" ref="V185:Y185" si="130">IF($N185=0,0,IF((O185/$N185*100)&gt;120,120,O185/$N185*100))</f>
        <v>0</v>
      </c>
      <c r="W185" s="46">
        <f t="shared" si="130"/>
        <v>0</v>
      </c>
      <c r="X185" s="46">
        <f t="shared" si="130"/>
        <v>5.555555556</v>
      </c>
      <c r="Y185" s="46">
        <f t="shared" si="130"/>
        <v>0</v>
      </c>
      <c r="Z185" s="2"/>
      <c r="AA185" s="3"/>
    </row>
    <row r="186" ht="14.25" customHeight="1">
      <c r="A186" s="225"/>
      <c r="B186" s="37"/>
      <c r="C186" s="38" t="s">
        <v>161</v>
      </c>
      <c r="D186" s="38"/>
      <c r="E186" s="38"/>
      <c r="F186" s="38"/>
      <c r="G186" s="38"/>
      <c r="H186" s="38"/>
      <c r="I186" s="226">
        <f>'Sub Koordinator Modif'!I487</f>
        <v>0</v>
      </c>
      <c r="J186" s="226" t="s">
        <v>160</v>
      </c>
      <c r="K186" s="227">
        <f>'Sub Koordinator Modif'!K487</f>
        <v>0</v>
      </c>
      <c r="L186" s="227">
        <f>'Sub Koordinator Modif'!L487</f>
        <v>0</v>
      </c>
      <c r="M186" s="227">
        <f>'Sub Koordinator Modif'!M487</f>
        <v>0</v>
      </c>
      <c r="N186" s="227">
        <f>'Sub Koordinator Modif'!N487</f>
        <v>0</v>
      </c>
      <c r="O186" s="227">
        <f>'Sub Koordinator Modif'!O487</f>
        <v>0</v>
      </c>
      <c r="P186" s="227">
        <f>'Sub Koordinator Modif'!P487</f>
        <v>0</v>
      </c>
      <c r="Q186" s="227">
        <f>'Sub Koordinator Modif'!Q487</f>
        <v>0</v>
      </c>
      <c r="R186" s="227" t="str">
        <f>'Sub Koordinator Modif'!R487</f>
        <v/>
      </c>
      <c r="S186" s="106">
        <f t="shared" ref="S186:U186" si="131">IF(K186=0,0,IF((O186/K186*100)&gt;120,120,O186/K186*100))</f>
        <v>0</v>
      </c>
      <c r="T186" s="106">
        <f t="shared" si="131"/>
        <v>0</v>
      </c>
      <c r="U186" s="106">
        <f t="shared" si="131"/>
        <v>0</v>
      </c>
      <c r="V186" s="106">
        <f t="shared" ref="V186:Y186" si="132">IF($N186=0,0,IF((O186/$N186*100)&gt;120,120,O186/$N186*100))</f>
        <v>0</v>
      </c>
      <c r="W186" s="106">
        <f t="shared" si="132"/>
        <v>0</v>
      </c>
      <c r="X186" s="106">
        <f t="shared" si="132"/>
        <v>0</v>
      </c>
      <c r="Y186" s="106">
        <f t="shared" si="132"/>
        <v>0</v>
      </c>
      <c r="Z186" s="228"/>
      <c r="AA186" s="229"/>
    </row>
    <row r="187" ht="14.25" customHeight="1">
      <c r="A187" s="1"/>
      <c r="B187" s="37"/>
      <c r="C187" s="39" t="s">
        <v>162</v>
      </c>
      <c r="D187" s="39"/>
      <c r="E187" s="39"/>
      <c r="F187" s="41"/>
      <c r="G187" s="39"/>
      <c r="H187" s="39"/>
      <c r="I187" s="103">
        <f>'Sub Koordinator Modif'!I488</f>
        <v>93</v>
      </c>
      <c r="J187" s="103" t="s">
        <v>163</v>
      </c>
      <c r="K187" s="42">
        <f>'Sub Koordinator Modif'!K488</f>
        <v>0</v>
      </c>
      <c r="L187" s="42">
        <f>'Sub Koordinator Modif'!L488</f>
        <v>0</v>
      </c>
      <c r="M187" s="42">
        <f>'Sub Koordinator Modif'!M488</f>
        <v>0</v>
      </c>
      <c r="N187" s="42">
        <f>'Sub Koordinator Modif'!N488</f>
        <v>93</v>
      </c>
      <c r="O187" s="42">
        <f>'Sub Koordinator Modif'!O488</f>
        <v>0</v>
      </c>
      <c r="P187" s="227">
        <f>'Sub Koordinator Modif'!P488</f>
        <v>0</v>
      </c>
      <c r="Q187" s="42">
        <f>'Sub Koordinator Modif'!Q488</f>
        <v>93.7</v>
      </c>
      <c r="R187" s="42" t="str">
        <f>'Sub Koordinator Modif'!R488</f>
        <v/>
      </c>
      <c r="S187" s="46">
        <f t="shared" ref="S187:U187" si="133">IF(K187=0,0,IF((O187/K187*100)&gt;120,120,O187/K187*100))</f>
        <v>0</v>
      </c>
      <c r="T187" s="46">
        <f t="shared" si="133"/>
        <v>0</v>
      </c>
      <c r="U187" s="46">
        <f t="shared" si="133"/>
        <v>0</v>
      </c>
      <c r="V187" s="46">
        <f t="shared" ref="V187:Y187" si="134">IF($N187=0,0,IF((O187/$N187*100)&gt;120,120,O187/$N187*100))</f>
        <v>0</v>
      </c>
      <c r="W187" s="46">
        <f t="shared" si="134"/>
        <v>0</v>
      </c>
      <c r="X187" s="46">
        <f t="shared" si="134"/>
        <v>100.7526882</v>
      </c>
      <c r="Y187" s="46">
        <f t="shared" si="134"/>
        <v>0</v>
      </c>
      <c r="Z187" s="2"/>
      <c r="AA187" s="3"/>
    </row>
    <row r="188" ht="14.25" customHeight="1">
      <c r="A188" s="1"/>
      <c r="B188" s="37"/>
      <c r="C188" s="39" t="s">
        <v>164</v>
      </c>
      <c r="D188" s="39"/>
      <c r="E188" s="39"/>
      <c r="F188" s="41"/>
      <c r="G188" s="39"/>
      <c r="H188" s="39"/>
      <c r="I188" s="103">
        <f>'Sub Koordinator Modif'!I489</f>
        <v>55000</v>
      </c>
      <c r="J188" s="103" t="s">
        <v>165</v>
      </c>
      <c r="K188" s="42">
        <f>'Sub Koordinator Modif'!K489</f>
        <v>3000</v>
      </c>
      <c r="L188" s="42">
        <f>'Sub Koordinator Modif'!L489</f>
        <v>4000</v>
      </c>
      <c r="M188" s="42">
        <f>'Sub Koordinator Modif'!M489</f>
        <v>5000</v>
      </c>
      <c r="N188" s="42">
        <f>'Sub Koordinator Modif'!N489</f>
        <v>7000</v>
      </c>
      <c r="O188" s="42">
        <f>'Sub Koordinator Modif'!O489</f>
        <v>25795</v>
      </c>
      <c r="P188" s="227">
        <f>'Sub Koordinator Modif'!P489</f>
        <v>49739</v>
      </c>
      <c r="Q188" s="42">
        <f>'Sub Koordinator Modif'!Q489</f>
        <v>77333</v>
      </c>
      <c r="R188" s="42" t="str">
        <f>'Sub Koordinator Modif'!R489</f>
        <v/>
      </c>
      <c r="S188" s="46">
        <f t="shared" ref="S188:U188" si="135">IF(K188=0,0,IF((O188/K188*100)&gt;120,120,O188/K188*100))</f>
        <v>120</v>
      </c>
      <c r="T188" s="46">
        <f t="shared" si="135"/>
        <v>120</v>
      </c>
      <c r="U188" s="46">
        <f t="shared" si="135"/>
        <v>120</v>
      </c>
      <c r="V188" s="46">
        <f t="shared" ref="V188:Y188" si="136">IF($N188=0,0,IF((O188/$N188*100)&gt;120,120,O188/$N188*100))</f>
        <v>120</v>
      </c>
      <c r="W188" s="46">
        <f t="shared" si="136"/>
        <v>120</v>
      </c>
      <c r="X188" s="46">
        <f t="shared" si="136"/>
        <v>120</v>
      </c>
      <c r="Y188" s="46">
        <f t="shared" si="136"/>
        <v>0</v>
      </c>
      <c r="Z188" s="2"/>
      <c r="AA188" s="3"/>
    </row>
    <row r="189" ht="14.25" customHeight="1">
      <c r="A189" s="1"/>
      <c r="B189" s="37"/>
      <c r="C189" s="39"/>
      <c r="D189" s="39"/>
      <c r="E189" s="39"/>
      <c r="F189" s="41"/>
      <c r="G189" s="39"/>
      <c r="H189" s="39"/>
      <c r="I189" s="39"/>
      <c r="J189" s="103"/>
      <c r="K189" s="42"/>
      <c r="L189" s="39"/>
      <c r="M189" s="39"/>
      <c r="N189" s="77"/>
      <c r="O189" s="42" t="str">
        <f>'Sub Koordinator Modif'!O490</f>
        <v/>
      </c>
      <c r="P189" s="39"/>
      <c r="Q189" s="39"/>
      <c r="R189" s="39"/>
      <c r="S189" s="39"/>
      <c r="T189" s="39"/>
      <c r="U189" s="39"/>
      <c r="V189" s="39"/>
      <c r="W189" s="39"/>
      <c r="X189" s="39"/>
      <c r="Y189" s="39"/>
      <c r="Z189" s="2"/>
      <c r="AA189" s="3"/>
    </row>
    <row r="190" ht="14.25" customHeight="1">
      <c r="A190" s="1"/>
      <c r="B190" s="230"/>
      <c r="C190" s="231"/>
      <c r="D190" s="232"/>
      <c r="E190" s="232"/>
      <c r="F190" s="232"/>
      <c r="G190" s="233" t="s">
        <v>166</v>
      </c>
      <c r="H190" s="232"/>
      <c r="I190" s="232"/>
      <c r="J190" s="232"/>
      <c r="K190" s="234"/>
      <c r="L190" s="234"/>
      <c r="M190" s="234"/>
      <c r="N190" s="234"/>
      <c r="O190" s="234"/>
      <c r="P190" s="234"/>
      <c r="Q190" s="234"/>
      <c r="R190" s="234"/>
      <c r="S190" s="235">
        <f t="shared" ref="S190:U190" si="137">IF(SUM(K177:K188)&gt;0,SUM(S177:S188)/COUNTIF(K177:K188,"&gt;0"),0)</f>
        <v>108</v>
      </c>
      <c r="T190" s="235">
        <f t="shared" si="137"/>
        <v>108.8</v>
      </c>
      <c r="U190" s="235">
        <f t="shared" si="137"/>
        <v>110</v>
      </c>
      <c r="V190" s="235">
        <f t="shared" ref="V190:Y190" si="138">IF(SUM($N177:$N188)&gt;0,SUM(V177:V188)/COUNTIF($N177:$N188,"&gt;0"),0)</f>
        <v>19.94588745</v>
      </c>
      <c r="W190" s="235">
        <f t="shared" si="138"/>
        <v>38.66692641</v>
      </c>
      <c r="X190" s="235">
        <f t="shared" si="138"/>
        <v>84.83754597</v>
      </c>
      <c r="Y190" s="235">
        <f t="shared" si="138"/>
        <v>27.27272727</v>
      </c>
      <c r="Z190" s="2"/>
      <c r="AA190" s="3"/>
    </row>
    <row r="191" ht="14.25" customHeight="1">
      <c r="A191" s="1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3"/>
    </row>
    <row r="192" ht="14.25" customHeight="1">
      <c r="A192" s="1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3"/>
    </row>
    <row r="193" ht="14.25" customHeight="1">
      <c r="A193" s="1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3"/>
    </row>
    <row r="194" ht="14.25" customHeight="1">
      <c r="A194" s="1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3"/>
    </row>
    <row r="195" ht="14.25" customHeight="1">
      <c r="A195" s="1"/>
      <c r="B195" s="2"/>
      <c r="C195" s="2"/>
      <c r="D195" s="2"/>
      <c r="E195" s="2"/>
      <c r="F195" s="2"/>
      <c r="G195" s="5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3"/>
    </row>
    <row r="196" ht="14.25" customHeight="1">
      <c r="A196" s="1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3"/>
    </row>
    <row r="197" ht="14.25" customHeight="1">
      <c r="A197" s="1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3"/>
    </row>
    <row r="198" ht="14.25" customHeight="1">
      <c r="A198" s="1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3"/>
    </row>
    <row r="199" ht="14.25" customHeight="1">
      <c r="A199" s="1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3"/>
    </row>
    <row r="200" ht="14.25" customHeight="1">
      <c r="A200" s="1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3"/>
    </row>
    <row r="201" ht="14.25" customHeight="1">
      <c r="A201" s="1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3"/>
    </row>
    <row r="202" ht="14.25" customHeight="1">
      <c r="A202" s="1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3"/>
    </row>
    <row r="203" ht="14.25" customHeight="1">
      <c r="A203" s="1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3"/>
    </row>
    <row r="204" ht="14.25" customHeight="1">
      <c r="A204" s="1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3"/>
    </row>
    <row r="205" ht="14.25" customHeight="1">
      <c r="A205" s="1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3"/>
    </row>
    <row r="206" ht="14.25" customHeight="1">
      <c r="A206" s="1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3"/>
    </row>
    <row r="207" ht="14.25" customHeight="1">
      <c r="A207" s="1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3"/>
    </row>
    <row r="208" ht="14.25" customHeight="1">
      <c r="A208" s="1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3"/>
    </row>
    <row r="209" ht="14.25" customHeight="1">
      <c r="A209" s="1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3"/>
    </row>
    <row r="210" ht="14.25" customHeight="1">
      <c r="A210" s="1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3"/>
    </row>
    <row r="211" ht="14.25" customHeight="1">
      <c r="A211" s="1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3"/>
    </row>
    <row r="212" ht="14.25" customHeight="1">
      <c r="A212" s="1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3"/>
    </row>
    <row r="213" ht="14.25" customHeight="1">
      <c r="A213" s="1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3"/>
    </row>
    <row r="214" ht="14.25" customHeight="1">
      <c r="A214" s="1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3"/>
    </row>
    <row r="215" ht="14.25" customHeight="1">
      <c r="A215" s="1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3"/>
    </row>
    <row r="216" ht="14.25" customHeight="1">
      <c r="A216" s="1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3"/>
    </row>
    <row r="217" ht="14.25" customHeight="1">
      <c r="A217" s="1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3"/>
    </row>
    <row r="218" ht="14.25" customHeight="1">
      <c r="A218" s="1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3"/>
    </row>
    <row r="219" ht="14.25" customHeight="1">
      <c r="A219" s="1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3"/>
    </row>
    <row r="220" ht="14.25" customHeight="1">
      <c r="A220" s="1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3"/>
    </row>
    <row r="221" ht="14.25" customHeight="1">
      <c r="A221" s="1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3"/>
    </row>
    <row r="222" ht="14.25" customHeight="1">
      <c r="A222" s="1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3"/>
    </row>
    <row r="223" ht="14.25" customHeight="1">
      <c r="A223" s="1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3"/>
    </row>
    <row r="224" ht="14.25" customHeight="1">
      <c r="A224" s="1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3"/>
    </row>
    <row r="225" ht="14.25" customHeight="1">
      <c r="A225" s="1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3"/>
    </row>
    <row r="226" ht="14.25" customHeight="1">
      <c r="A226" s="1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3"/>
    </row>
    <row r="227" ht="14.25" customHeight="1">
      <c r="A227" s="1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3"/>
    </row>
    <row r="228" ht="14.25" customHeight="1">
      <c r="A228" s="1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3"/>
    </row>
    <row r="229" ht="14.25" customHeight="1">
      <c r="A229" s="1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3"/>
    </row>
    <row r="230" ht="14.25" customHeight="1">
      <c r="A230" s="1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3"/>
    </row>
    <row r="231" ht="14.25" customHeight="1">
      <c r="A231" s="1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3"/>
    </row>
    <row r="232" ht="14.25" customHeight="1">
      <c r="A232" s="1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3"/>
    </row>
    <row r="233" ht="14.25" customHeight="1">
      <c r="A233" s="1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3"/>
    </row>
    <row r="234" ht="14.25" customHeight="1">
      <c r="A234" s="1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3"/>
    </row>
    <row r="235" ht="14.25" customHeight="1">
      <c r="A235" s="1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3"/>
    </row>
    <row r="236" ht="14.25" customHeight="1">
      <c r="A236" s="1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3"/>
    </row>
    <row r="237" ht="14.25" customHeight="1">
      <c r="A237" s="1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3"/>
    </row>
    <row r="238" ht="14.25" customHeight="1">
      <c r="A238" s="1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3"/>
    </row>
    <row r="239" ht="14.25" customHeight="1">
      <c r="A239" s="1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3"/>
    </row>
    <row r="240" ht="14.25" customHeight="1">
      <c r="A240" s="1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3"/>
    </row>
    <row r="241" ht="14.25" customHeight="1">
      <c r="A241" s="1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3"/>
    </row>
    <row r="242" ht="14.25" customHeight="1">
      <c r="A242" s="1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3"/>
    </row>
    <row r="243" ht="14.25" customHeight="1">
      <c r="A243" s="1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3"/>
    </row>
    <row r="244" ht="14.25" customHeight="1">
      <c r="A244" s="1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3"/>
    </row>
    <row r="245" ht="14.25" customHeight="1">
      <c r="A245" s="1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3"/>
    </row>
    <row r="246" ht="14.25" customHeight="1">
      <c r="A246" s="1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3"/>
    </row>
    <row r="247" ht="14.25" customHeight="1">
      <c r="A247" s="1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3"/>
    </row>
    <row r="248" ht="14.25" customHeight="1">
      <c r="A248" s="1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3"/>
    </row>
    <row r="249" ht="14.25" customHeight="1">
      <c r="A249" s="1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3"/>
    </row>
    <row r="250" ht="14.25" customHeight="1">
      <c r="A250" s="1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3"/>
    </row>
    <row r="251" ht="14.25" customHeight="1">
      <c r="A251" s="1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3"/>
    </row>
    <row r="252" ht="14.25" customHeight="1">
      <c r="A252" s="1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3"/>
    </row>
    <row r="253" ht="14.25" customHeight="1">
      <c r="A253" s="1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3"/>
    </row>
    <row r="254" ht="14.25" customHeight="1">
      <c r="A254" s="1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3"/>
    </row>
    <row r="255" ht="14.25" customHeight="1">
      <c r="A255" s="1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3"/>
    </row>
    <row r="256" ht="14.25" customHeight="1">
      <c r="A256" s="1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3"/>
    </row>
    <row r="257" ht="14.25" customHeight="1">
      <c r="A257" s="1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3"/>
    </row>
    <row r="258" ht="14.25" customHeight="1">
      <c r="A258" s="1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3"/>
    </row>
    <row r="259" ht="14.25" customHeight="1">
      <c r="A259" s="1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3"/>
    </row>
    <row r="260" ht="14.25" customHeight="1">
      <c r="A260" s="1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3"/>
    </row>
    <row r="261" ht="14.25" customHeight="1">
      <c r="A261" s="1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3"/>
    </row>
    <row r="262" ht="14.25" customHeight="1">
      <c r="A262" s="1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3"/>
    </row>
    <row r="263" ht="14.25" customHeight="1">
      <c r="A263" s="1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3"/>
    </row>
    <row r="264" ht="14.25" customHeight="1">
      <c r="A264" s="1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3"/>
    </row>
    <row r="265" ht="14.25" customHeight="1">
      <c r="A265" s="1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3"/>
    </row>
    <row r="266" ht="14.25" customHeight="1">
      <c r="A266" s="1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3"/>
    </row>
    <row r="267" ht="14.25" customHeight="1">
      <c r="A267" s="1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3"/>
    </row>
    <row r="268" ht="14.25" customHeight="1">
      <c r="A268" s="1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3"/>
    </row>
    <row r="269" ht="14.25" customHeight="1">
      <c r="A269" s="1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3"/>
    </row>
    <row r="270" ht="14.25" customHeight="1">
      <c r="A270" s="1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3"/>
    </row>
    <row r="271" ht="14.25" customHeight="1">
      <c r="A271" s="1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3"/>
    </row>
    <row r="272" ht="14.25" customHeight="1">
      <c r="A272" s="1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3"/>
    </row>
    <row r="273" ht="14.25" customHeight="1">
      <c r="A273" s="1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3"/>
    </row>
    <row r="274" ht="14.25" customHeight="1">
      <c r="A274" s="1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3"/>
    </row>
    <row r="275" ht="14.25" customHeight="1">
      <c r="A275" s="1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3"/>
    </row>
    <row r="276" ht="14.25" customHeight="1">
      <c r="A276" s="1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3"/>
    </row>
    <row r="277" ht="14.25" customHeight="1">
      <c r="A277" s="1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3"/>
    </row>
    <row r="278" ht="14.25" customHeight="1">
      <c r="A278" s="1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3"/>
    </row>
    <row r="279" ht="14.25" customHeight="1">
      <c r="A279" s="1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3"/>
    </row>
    <row r="280" ht="14.25" customHeight="1">
      <c r="A280" s="1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3"/>
    </row>
    <row r="281" ht="14.25" customHeight="1">
      <c r="A281" s="1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3"/>
    </row>
    <row r="282" ht="14.25" customHeight="1">
      <c r="A282" s="1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3"/>
    </row>
    <row r="283" ht="14.25" customHeight="1">
      <c r="A283" s="1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3"/>
    </row>
    <row r="284" ht="14.25" customHeight="1">
      <c r="A284" s="1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3"/>
    </row>
    <row r="285" ht="14.25" customHeight="1">
      <c r="A285" s="1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3"/>
    </row>
    <row r="286" ht="14.25" customHeight="1">
      <c r="A286" s="1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3"/>
    </row>
    <row r="287" ht="14.25" customHeight="1">
      <c r="A287" s="1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3"/>
    </row>
    <row r="288" ht="14.25" customHeight="1">
      <c r="A288" s="1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3"/>
    </row>
    <row r="289" ht="14.25" customHeight="1">
      <c r="A289" s="1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3"/>
    </row>
    <row r="290" ht="14.25" customHeight="1">
      <c r="A290" s="1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3"/>
    </row>
    <row r="291" ht="14.25" customHeight="1">
      <c r="A291" s="1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3"/>
    </row>
    <row r="292" ht="14.25" customHeight="1">
      <c r="A292" s="1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3"/>
    </row>
    <row r="293" ht="14.25" customHeight="1">
      <c r="A293" s="1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3"/>
    </row>
    <row r="294" ht="14.25" customHeight="1">
      <c r="A294" s="1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3"/>
    </row>
    <row r="295" ht="14.25" customHeight="1">
      <c r="A295" s="1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3"/>
    </row>
    <row r="296" ht="14.25" customHeight="1">
      <c r="A296" s="1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3"/>
    </row>
    <row r="297" ht="14.25" customHeight="1">
      <c r="A297" s="1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3"/>
    </row>
    <row r="298" ht="14.25" customHeight="1">
      <c r="A298" s="1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3"/>
    </row>
    <row r="299" ht="14.25" customHeight="1">
      <c r="A299" s="1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3"/>
    </row>
    <row r="300" ht="14.25" customHeight="1">
      <c r="A300" s="1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3"/>
    </row>
    <row r="301" ht="14.25" customHeight="1">
      <c r="A301" s="1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3"/>
    </row>
    <row r="302" ht="14.25" customHeight="1">
      <c r="A302" s="1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3"/>
    </row>
    <row r="303" ht="14.25" customHeight="1">
      <c r="A303" s="1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3"/>
    </row>
    <row r="304" ht="14.25" customHeight="1">
      <c r="A304" s="1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3"/>
    </row>
    <row r="305" ht="14.25" customHeight="1">
      <c r="A305" s="1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3"/>
    </row>
    <row r="306" ht="14.25" customHeight="1">
      <c r="A306" s="1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3"/>
    </row>
    <row r="307" ht="14.25" customHeight="1">
      <c r="A307" s="1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3"/>
    </row>
    <row r="308" ht="14.25" customHeight="1">
      <c r="A308" s="1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3"/>
    </row>
    <row r="309" ht="14.25" customHeight="1">
      <c r="A309" s="1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3"/>
    </row>
    <row r="310" ht="14.25" customHeight="1">
      <c r="A310" s="1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3"/>
    </row>
    <row r="311" ht="14.25" customHeight="1">
      <c r="A311" s="1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3"/>
    </row>
    <row r="312" ht="14.25" customHeight="1">
      <c r="A312" s="1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3"/>
    </row>
    <row r="313" ht="14.25" customHeight="1">
      <c r="A313" s="1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3"/>
    </row>
    <row r="314" ht="14.25" customHeight="1">
      <c r="A314" s="1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3"/>
    </row>
    <row r="315" ht="14.25" customHeight="1">
      <c r="A315" s="1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3"/>
    </row>
    <row r="316" ht="14.25" customHeight="1">
      <c r="A316" s="1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3"/>
    </row>
    <row r="317" ht="14.25" customHeight="1">
      <c r="A317" s="1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3"/>
    </row>
    <row r="318" ht="14.25" customHeight="1">
      <c r="A318" s="1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3"/>
    </row>
    <row r="319" ht="14.25" customHeight="1">
      <c r="A319" s="1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3"/>
    </row>
    <row r="320" ht="14.25" customHeight="1">
      <c r="A320" s="1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3"/>
    </row>
    <row r="321" ht="14.25" customHeight="1">
      <c r="A321" s="1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3"/>
    </row>
    <row r="322" ht="14.25" customHeight="1">
      <c r="A322" s="1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3"/>
    </row>
    <row r="323" ht="14.25" customHeight="1">
      <c r="A323" s="1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3"/>
    </row>
    <row r="324" ht="14.25" customHeight="1">
      <c r="A324" s="1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3"/>
    </row>
    <row r="325" ht="14.25" customHeight="1">
      <c r="A325" s="1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3"/>
    </row>
    <row r="326" ht="14.25" customHeight="1">
      <c r="A326" s="1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3"/>
    </row>
    <row r="327" ht="14.25" customHeight="1">
      <c r="A327" s="1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3"/>
    </row>
    <row r="328" ht="14.25" customHeight="1">
      <c r="A328" s="1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3"/>
    </row>
    <row r="329" ht="14.25" customHeight="1">
      <c r="A329" s="1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3"/>
    </row>
    <row r="330" ht="14.25" customHeight="1">
      <c r="A330" s="1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3"/>
    </row>
    <row r="331" ht="14.25" customHeight="1">
      <c r="A331" s="1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3"/>
    </row>
    <row r="332" ht="14.25" customHeight="1">
      <c r="A332" s="1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3"/>
    </row>
    <row r="333" ht="14.25" customHeight="1">
      <c r="A333" s="1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3"/>
    </row>
    <row r="334" ht="14.25" customHeight="1">
      <c r="A334" s="1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3"/>
    </row>
    <row r="335" ht="14.25" customHeight="1">
      <c r="A335" s="1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3"/>
    </row>
    <row r="336" ht="14.25" customHeight="1">
      <c r="A336" s="1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3"/>
    </row>
    <row r="337" ht="14.25" customHeight="1">
      <c r="A337" s="1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3"/>
    </row>
    <row r="338" ht="14.25" customHeight="1">
      <c r="A338" s="1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3"/>
    </row>
    <row r="339" ht="14.25" customHeight="1">
      <c r="A339" s="1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3"/>
    </row>
    <row r="340" ht="14.25" customHeight="1">
      <c r="A340" s="1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3"/>
    </row>
    <row r="341" ht="14.25" customHeight="1">
      <c r="A341" s="1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3"/>
    </row>
    <row r="342" ht="14.25" customHeight="1">
      <c r="A342" s="1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3"/>
    </row>
    <row r="343" ht="14.25" customHeight="1">
      <c r="A343" s="1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3"/>
    </row>
    <row r="344" ht="14.25" customHeight="1">
      <c r="A344" s="1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3"/>
    </row>
    <row r="345" ht="14.25" customHeight="1">
      <c r="A345" s="1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3"/>
    </row>
    <row r="346" ht="14.25" customHeight="1">
      <c r="A346" s="1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3"/>
    </row>
    <row r="347" ht="14.25" customHeight="1">
      <c r="A347" s="1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3"/>
    </row>
    <row r="348" ht="14.25" customHeight="1">
      <c r="A348" s="1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3"/>
    </row>
    <row r="349" ht="14.25" customHeight="1">
      <c r="A349" s="1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3"/>
    </row>
    <row r="350" ht="14.25" customHeight="1">
      <c r="A350" s="1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3"/>
    </row>
    <row r="351" ht="14.25" customHeight="1">
      <c r="A351" s="1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3"/>
    </row>
    <row r="352" ht="14.25" customHeight="1">
      <c r="A352" s="1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3"/>
    </row>
    <row r="353" ht="14.25" customHeight="1">
      <c r="A353" s="1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3"/>
    </row>
    <row r="354" ht="14.25" customHeight="1">
      <c r="A354" s="1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3"/>
    </row>
    <row r="355" ht="14.25" customHeight="1">
      <c r="A355" s="1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3"/>
    </row>
    <row r="356" ht="14.25" customHeight="1">
      <c r="A356" s="1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3"/>
    </row>
    <row r="357" ht="14.25" customHeight="1">
      <c r="A357" s="1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3"/>
    </row>
    <row r="358" ht="14.25" customHeight="1">
      <c r="A358" s="1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3"/>
    </row>
    <row r="359" ht="14.25" customHeight="1">
      <c r="A359" s="1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3"/>
    </row>
    <row r="360" ht="14.25" customHeight="1">
      <c r="A360" s="1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3"/>
    </row>
    <row r="361" ht="14.25" customHeight="1">
      <c r="A361" s="1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3"/>
    </row>
    <row r="362" ht="14.25" customHeight="1">
      <c r="A362" s="1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3"/>
    </row>
    <row r="363" ht="14.25" customHeight="1">
      <c r="A363" s="1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3"/>
    </row>
    <row r="364" ht="14.25" customHeight="1">
      <c r="A364" s="1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3"/>
    </row>
    <row r="365" ht="14.25" customHeight="1">
      <c r="A365" s="1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3"/>
    </row>
    <row r="366" ht="14.25" customHeight="1">
      <c r="A366" s="1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3"/>
    </row>
    <row r="367" ht="14.25" customHeight="1">
      <c r="A367" s="1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3"/>
    </row>
    <row r="368" ht="14.25" customHeight="1">
      <c r="A368" s="1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3"/>
    </row>
    <row r="369" ht="14.25" customHeight="1">
      <c r="A369" s="1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3"/>
    </row>
    <row r="370" ht="14.25" customHeight="1">
      <c r="A370" s="1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3"/>
    </row>
    <row r="371" ht="14.25" customHeight="1">
      <c r="A371" s="1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3"/>
    </row>
    <row r="372" ht="14.25" customHeight="1">
      <c r="A372" s="1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3"/>
    </row>
    <row r="373" ht="14.25" customHeight="1">
      <c r="A373" s="1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3"/>
    </row>
    <row r="374" ht="14.25" customHeight="1">
      <c r="A374" s="1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3"/>
    </row>
    <row r="375" ht="14.25" customHeight="1">
      <c r="A375" s="1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3"/>
    </row>
    <row r="376" ht="14.25" customHeight="1">
      <c r="A376" s="1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3"/>
    </row>
    <row r="377" ht="14.25" customHeight="1">
      <c r="A377" s="1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3"/>
    </row>
    <row r="378" ht="14.25" customHeight="1">
      <c r="A378" s="1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3"/>
    </row>
    <row r="379" ht="14.25" customHeight="1">
      <c r="A379" s="1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3"/>
    </row>
    <row r="380" ht="14.25" customHeight="1">
      <c r="A380" s="1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3"/>
    </row>
    <row r="381" ht="14.25" customHeight="1">
      <c r="A381" s="1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3"/>
    </row>
    <row r="382" ht="14.25" customHeight="1">
      <c r="A382" s="1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3"/>
    </row>
    <row r="383" ht="14.25" customHeight="1">
      <c r="A383" s="1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3"/>
    </row>
    <row r="384" ht="14.25" customHeight="1">
      <c r="A384" s="1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3"/>
    </row>
    <row r="385" ht="14.25" customHeight="1">
      <c r="A385" s="1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3"/>
    </row>
    <row r="386" ht="14.25" customHeight="1">
      <c r="A386" s="1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3"/>
    </row>
    <row r="387" ht="14.25" customHeight="1">
      <c r="A387" s="1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3"/>
    </row>
    <row r="388" ht="14.25" customHeight="1">
      <c r="A388" s="1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3"/>
    </row>
    <row r="389" ht="14.25" customHeight="1">
      <c r="A389" s="1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3"/>
    </row>
    <row r="390" ht="14.25" customHeight="1">
      <c r="A390" s="1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3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3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3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3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3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3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3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3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3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3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3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3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3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3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3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3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3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3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3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3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3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3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3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3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3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3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3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3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3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3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3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3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3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3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3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3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3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3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3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3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3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3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3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3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3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3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3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3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3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3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3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3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3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3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3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3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3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3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3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3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3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3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3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3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3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3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3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3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3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3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3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3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3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3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3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3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3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3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3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3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3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3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3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3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3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3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3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3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3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3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3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3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3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3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3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3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3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3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3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3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3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3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3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3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3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3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3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3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3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3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3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3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3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3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3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3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3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3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3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3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3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3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3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3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3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3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3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3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3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3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3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3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3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3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3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3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3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3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3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3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3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3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3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3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3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3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3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3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3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3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3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3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3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3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3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3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3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3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3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3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3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3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3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3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3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3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3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3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3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3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3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3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3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3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3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3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3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3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3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3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3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3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3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3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3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3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3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3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3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3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3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3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3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3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3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3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3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3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3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3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3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3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3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3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3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3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3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3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3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3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3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3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3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3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3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3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3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3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3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3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3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3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3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3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3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3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3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3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3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3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3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3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3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3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3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3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3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3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3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3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3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3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3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3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3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3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3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3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3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3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3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3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3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3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3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3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3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3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3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3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3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3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3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3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3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3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3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3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3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3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3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3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3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3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3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3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3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3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3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3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3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3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3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3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3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3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3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3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3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3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3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3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3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3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3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3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3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3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3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3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3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3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3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3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3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3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3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3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3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3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3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3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3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3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3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3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3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3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3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3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3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3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3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3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3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3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3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3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3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3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3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3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3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3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3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3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3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3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3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3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3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3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3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3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3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3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3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3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3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3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3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3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3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3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3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3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3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3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3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3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3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3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3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3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3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3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3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3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3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3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3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3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3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3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3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3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3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3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3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3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3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3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3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3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3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3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3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3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3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3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3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3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3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3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3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3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3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3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3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3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3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3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3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3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3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3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3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3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3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3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3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3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3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3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3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3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3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3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3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3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3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3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3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3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3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3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3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3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3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3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3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3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3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3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3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3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3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3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3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3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3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3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3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3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3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3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3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3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3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3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3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3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3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3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3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3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3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3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3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3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3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3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3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3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3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3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3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3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3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3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3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3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3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3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3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3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3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3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3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3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3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3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3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3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3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3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3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3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3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3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3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3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3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3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3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3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3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3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3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3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3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3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3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3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3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3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3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3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3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3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3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3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3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3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3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3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3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3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3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3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3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3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3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3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3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3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3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3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3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3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3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3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3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3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3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3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3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3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3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3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3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3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3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3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3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3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3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3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3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3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3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3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3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3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3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3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3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3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3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3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3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3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3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3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3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3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3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3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3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3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3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3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3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3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3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3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3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3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3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3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3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3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3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3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3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3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3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3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3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3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3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3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3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3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3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3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3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3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3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3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3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3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3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3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3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3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3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3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3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3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3"/>
    </row>
    <row r="1001" ht="15.75" customHeight="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3"/>
    </row>
    <row r="1002" ht="15.75" customHeight="1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3"/>
    </row>
  </sheetData>
  <mergeCells count="70">
    <mergeCell ref="S21:U21"/>
    <mergeCell ref="V21:Y21"/>
    <mergeCell ref="S56:Y56"/>
    <mergeCell ref="S57:U57"/>
    <mergeCell ref="V57:Y57"/>
    <mergeCell ref="S79:Y79"/>
    <mergeCell ref="S80:U80"/>
    <mergeCell ref="V80:Y80"/>
    <mergeCell ref="S103:Y103"/>
    <mergeCell ref="S104:U104"/>
    <mergeCell ref="V104:Y104"/>
    <mergeCell ref="S126:Y126"/>
    <mergeCell ref="S127:U127"/>
    <mergeCell ref="V127:Y127"/>
    <mergeCell ref="B20:H22"/>
    <mergeCell ref="J20:R20"/>
    <mergeCell ref="S20:Y20"/>
    <mergeCell ref="I21:I22"/>
    <mergeCell ref="J21:J22"/>
    <mergeCell ref="K21:N21"/>
    <mergeCell ref="O21:R21"/>
    <mergeCell ref="B23:H23"/>
    <mergeCell ref="B56:H58"/>
    <mergeCell ref="I56:I58"/>
    <mergeCell ref="J56:R56"/>
    <mergeCell ref="J57:J58"/>
    <mergeCell ref="K57:N57"/>
    <mergeCell ref="O57:R57"/>
    <mergeCell ref="B59:H59"/>
    <mergeCell ref="B79:H81"/>
    <mergeCell ref="I79:I81"/>
    <mergeCell ref="J79:R79"/>
    <mergeCell ref="J80:J81"/>
    <mergeCell ref="K80:N80"/>
    <mergeCell ref="O80:R80"/>
    <mergeCell ref="B82:H82"/>
    <mergeCell ref="B103:H105"/>
    <mergeCell ref="I103:I105"/>
    <mergeCell ref="J103:R103"/>
    <mergeCell ref="J104:J105"/>
    <mergeCell ref="K104:N104"/>
    <mergeCell ref="O104:R104"/>
    <mergeCell ref="B106:H106"/>
    <mergeCell ref="B126:H128"/>
    <mergeCell ref="I126:I128"/>
    <mergeCell ref="J126:R126"/>
    <mergeCell ref="J127:J128"/>
    <mergeCell ref="K127:N127"/>
    <mergeCell ref="O127:R127"/>
    <mergeCell ref="S149:Y149"/>
    <mergeCell ref="S150:U150"/>
    <mergeCell ref="V150:Y150"/>
    <mergeCell ref="S172:Y172"/>
    <mergeCell ref="S173:U173"/>
    <mergeCell ref="V173:Y173"/>
    <mergeCell ref="B152:H152"/>
    <mergeCell ref="B172:H174"/>
    <mergeCell ref="I172:I174"/>
    <mergeCell ref="J172:R172"/>
    <mergeCell ref="J173:J174"/>
    <mergeCell ref="K173:N173"/>
    <mergeCell ref="O173:R173"/>
    <mergeCell ref="B175:H175"/>
    <mergeCell ref="B129:H129"/>
    <mergeCell ref="B149:H151"/>
    <mergeCell ref="I149:I151"/>
    <mergeCell ref="J149:R149"/>
    <mergeCell ref="J150:J151"/>
    <mergeCell ref="K150:N150"/>
    <mergeCell ref="O150:R150"/>
  </mergeCells>
  <conditionalFormatting sqref="S61:U65 Y61:Y65">
    <cfRule type="cellIs" dxfId="0" priority="1" operator="lessThan">
      <formula>80</formula>
    </cfRule>
  </conditionalFormatting>
  <conditionalFormatting sqref="S61:U65 Y61:Y65">
    <cfRule type="cellIs" dxfId="1" priority="2" operator="between">
      <formula>80</formula>
      <formula>99.999</formula>
    </cfRule>
  </conditionalFormatting>
  <conditionalFormatting sqref="S61:U65 Y61:Y65">
    <cfRule type="cellIs" dxfId="2" priority="3" operator="greaterThanOrEqual">
      <formula>100</formula>
    </cfRule>
  </conditionalFormatting>
  <conditionalFormatting sqref="S84:U84 S87:U87 S90:U92 Y84 Y87 Y90:Y92">
    <cfRule type="cellIs" dxfId="0" priority="4" operator="lessThan">
      <formula>80</formula>
    </cfRule>
  </conditionalFormatting>
  <conditionalFormatting sqref="S84:U84 S87:U87 S90:U92 Y84 Y87 Y90:Y92">
    <cfRule type="cellIs" dxfId="1" priority="5" operator="between">
      <formula>80</formula>
      <formula>99.999</formula>
    </cfRule>
  </conditionalFormatting>
  <conditionalFormatting sqref="S84:U84 S87:U87 S90:U92 Y84 Y87 Y90:Y92">
    <cfRule type="cellIs" dxfId="2" priority="6" operator="greaterThanOrEqual">
      <formula>100</formula>
    </cfRule>
  </conditionalFormatting>
  <conditionalFormatting sqref="S108:U108 S111:U111 S114:U115 Y108 Y111 Y114:Y115">
    <cfRule type="cellIs" dxfId="0" priority="7" operator="lessThan">
      <formula>80</formula>
    </cfRule>
  </conditionalFormatting>
  <conditionalFormatting sqref="S108:U108 S111:U111 S114:U115 Y108 Y111 Y114:Y115">
    <cfRule type="cellIs" dxfId="1" priority="8" operator="between">
      <formula>80</formula>
      <formula>99.999</formula>
    </cfRule>
  </conditionalFormatting>
  <conditionalFormatting sqref="S108:U108 S111:U111 S114:U115 Y108 Y111 Y114:Y115">
    <cfRule type="cellIs" dxfId="2" priority="9" operator="greaterThanOrEqual">
      <formula>100</formula>
    </cfRule>
  </conditionalFormatting>
  <conditionalFormatting sqref="S120:U120 Y120">
    <cfRule type="cellIs" dxfId="0" priority="10" operator="lessThan">
      <formula>80</formula>
    </cfRule>
  </conditionalFormatting>
  <conditionalFormatting sqref="S120:U120 Y120">
    <cfRule type="cellIs" dxfId="1" priority="11" operator="between">
      <formula>80</formula>
      <formula>99.999</formula>
    </cfRule>
  </conditionalFormatting>
  <conditionalFormatting sqref="S120:U120 Y120">
    <cfRule type="cellIs" dxfId="2" priority="12" operator="greaterThanOrEqual">
      <formula>100</formula>
    </cfRule>
  </conditionalFormatting>
  <conditionalFormatting sqref="S97:U97 Y97">
    <cfRule type="cellIs" dxfId="0" priority="13" operator="lessThan">
      <formula>80</formula>
    </cfRule>
  </conditionalFormatting>
  <conditionalFormatting sqref="S97:U97 Y97">
    <cfRule type="cellIs" dxfId="1" priority="14" operator="between">
      <formula>80</formula>
      <formula>99.999</formula>
    </cfRule>
  </conditionalFormatting>
  <conditionalFormatting sqref="S97:U97 Y97">
    <cfRule type="cellIs" dxfId="2" priority="15" operator="greaterThanOrEqual">
      <formula>100</formula>
    </cfRule>
  </conditionalFormatting>
  <conditionalFormatting sqref="S131:U131 S134:U134 S137:U138 Y131 Y134 Y137:Y138">
    <cfRule type="cellIs" dxfId="0" priority="16" operator="lessThan">
      <formula>80</formula>
    </cfRule>
  </conditionalFormatting>
  <conditionalFormatting sqref="S131:U131 S134:U134 S137:U138 Y131 Y134 Y137:Y138">
    <cfRule type="cellIs" dxfId="1" priority="17" operator="between">
      <formula>80</formula>
      <formula>99.999</formula>
    </cfRule>
  </conditionalFormatting>
  <conditionalFormatting sqref="S131:U131 S134:U134 S137:U138 Y131 Y134 Y137:Y138">
    <cfRule type="cellIs" dxfId="2" priority="18" operator="greaterThanOrEqual">
      <formula>100</formula>
    </cfRule>
  </conditionalFormatting>
  <conditionalFormatting sqref="S143:U143 Y143">
    <cfRule type="cellIs" dxfId="0" priority="19" operator="lessThan">
      <formula>80</formula>
    </cfRule>
  </conditionalFormatting>
  <conditionalFormatting sqref="S143:U143 Y143">
    <cfRule type="cellIs" dxfId="1" priority="20" operator="between">
      <formula>80</formula>
      <formula>99.999</formula>
    </cfRule>
  </conditionalFormatting>
  <conditionalFormatting sqref="S143:U143 Y143">
    <cfRule type="cellIs" dxfId="2" priority="21" operator="greaterThanOrEqual">
      <formula>100</formula>
    </cfRule>
  </conditionalFormatting>
  <conditionalFormatting sqref="S154:U154 S157:U157 S160:U161 Y154 Y157 Y160:Y161">
    <cfRule type="cellIs" dxfId="0" priority="22" operator="lessThan">
      <formula>80</formula>
    </cfRule>
  </conditionalFormatting>
  <conditionalFormatting sqref="S154:U154 S157:U157 S160:U161 Y154 Y157 Y160:Y161">
    <cfRule type="cellIs" dxfId="1" priority="23" operator="between">
      <formula>80</formula>
      <formula>99.999</formula>
    </cfRule>
  </conditionalFormatting>
  <conditionalFormatting sqref="S154:U154 S157:U157 S160:U161 Y154 Y157 Y160:Y161">
    <cfRule type="cellIs" dxfId="2" priority="24" operator="greaterThanOrEqual">
      <formula>100</formula>
    </cfRule>
  </conditionalFormatting>
  <conditionalFormatting sqref="S166:U166 Y166">
    <cfRule type="cellIs" dxfId="0" priority="25" operator="lessThan">
      <formula>80</formula>
    </cfRule>
  </conditionalFormatting>
  <conditionalFormatting sqref="S166:U166 Y166">
    <cfRule type="cellIs" dxfId="1" priority="26" operator="between">
      <formula>80</formula>
      <formula>99.999</formula>
    </cfRule>
  </conditionalFormatting>
  <conditionalFormatting sqref="S166:U166 Y166">
    <cfRule type="cellIs" dxfId="2" priority="27" operator="greaterThanOrEqual">
      <formula>100</formula>
    </cfRule>
  </conditionalFormatting>
  <conditionalFormatting sqref="S177:U178 S180:U181 S183:U188 Y177:Y178 Y180:Y181 Y183:Y188">
    <cfRule type="cellIs" dxfId="0" priority="28" operator="lessThan">
      <formula>80</formula>
    </cfRule>
  </conditionalFormatting>
  <conditionalFormatting sqref="S177:U178 S180:U181 S183:U188 Y177:Y178 Y180:Y181 Y183:Y188">
    <cfRule type="cellIs" dxfId="1" priority="29" operator="between">
      <formula>80</formula>
      <formula>99.999</formula>
    </cfRule>
  </conditionalFormatting>
  <conditionalFormatting sqref="S177:U178 S180:U181 S183:U188 Y177:Y178 Y180:Y181 Y183:Y188">
    <cfRule type="cellIs" dxfId="2" priority="30" operator="greaterThanOrEqual">
      <formula>100</formula>
    </cfRule>
  </conditionalFormatting>
  <conditionalFormatting sqref="S179:U179 Y179">
    <cfRule type="cellIs" dxfId="0" priority="31" operator="lessThan">
      <formula>80</formula>
    </cfRule>
  </conditionalFormatting>
  <conditionalFormatting sqref="S179:U179 Y179">
    <cfRule type="cellIs" dxfId="1" priority="32" operator="between">
      <formula>80</formula>
      <formula>99.999</formula>
    </cfRule>
  </conditionalFormatting>
  <conditionalFormatting sqref="S179:U179 Y179">
    <cfRule type="cellIs" dxfId="2" priority="33" operator="greaterThanOrEqual">
      <formula>100</formula>
    </cfRule>
  </conditionalFormatting>
  <conditionalFormatting sqref="S28:U28 Y28">
    <cfRule type="cellIs" dxfId="0" priority="34" operator="lessThan">
      <formula>80</formula>
    </cfRule>
  </conditionalFormatting>
  <conditionalFormatting sqref="S28:U28 Y28">
    <cfRule type="cellIs" dxfId="1" priority="35" operator="between">
      <formula>80</formula>
      <formula>99.999</formula>
    </cfRule>
  </conditionalFormatting>
  <conditionalFormatting sqref="S28:U28 Y28">
    <cfRule type="cellIs" dxfId="2" priority="36" operator="greaterThanOrEqual">
      <formula>100</formula>
    </cfRule>
  </conditionalFormatting>
  <conditionalFormatting sqref="S36:U36 Y36">
    <cfRule type="cellIs" dxfId="0" priority="37" operator="lessThan">
      <formula>80</formula>
    </cfRule>
  </conditionalFormatting>
  <conditionalFormatting sqref="S36:U36 Y36">
    <cfRule type="cellIs" dxfId="1" priority="38" operator="between">
      <formula>80</formula>
      <formula>99.999</formula>
    </cfRule>
  </conditionalFormatting>
  <conditionalFormatting sqref="S36:U36 Y36">
    <cfRule type="cellIs" dxfId="2" priority="39" operator="greaterThanOrEqual">
      <formula>100</formula>
    </cfRule>
  </conditionalFormatting>
  <conditionalFormatting sqref="S42:U42 Y42">
    <cfRule type="cellIs" dxfId="0" priority="40" operator="lessThan">
      <formula>80</formula>
    </cfRule>
  </conditionalFormatting>
  <conditionalFormatting sqref="S42:U42 Y42">
    <cfRule type="cellIs" dxfId="1" priority="41" operator="between">
      <formula>80</formula>
      <formula>99.999</formula>
    </cfRule>
  </conditionalFormatting>
  <conditionalFormatting sqref="S42:U42 Y42">
    <cfRule type="cellIs" dxfId="2" priority="42" operator="greaterThanOrEqual">
      <formula>100</formula>
    </cfRule>
  </conditionalFormatting>
  <conditionalFormatting sqref="S48:U49 Y48:Y49">
    <cfRule type="cellIs" dxfId="0" priority="43" operator="lessThan">
      <formula>80</formula>
    </cfRule>
  </conditionalFormatting>
  <conditionalFormatting sqref="S48:U49 Y48:Y49">
    <cfRule type="cellIs" dxfId="1" priority="44" operator="between">
      <formula>80</formula>
      <formula>99.999</formula>
    </cfRule>
  </conditionalFormatting>
  <conditionalFormatting sqref="S48:U49 Y48:Y49">
    <cfRule type="cellIs" dxfId="2" priority="45" operator="greaterThanOrEqual">
      <formula>100</formula>
    </cfRule>
  </conditionalFormatting>
  <conditionalFormatting sqref="S182:U182 Y182">
    <cfRule type="cellIs" dxfId="0" priority="46" operator="lessThan">
      <formula>80</formula>
    </cfRule>
  </conditionalFormatting>
  <conditionalFormatting sqref="S182:U182 Y182">
    <cfRule type="cellIs" dxfId="1" priority="47" operator="between">
      <formula>80</formula>
      <formula>99.999</formula>
    </cfRule>
  </conditionalFormatting>
  <conditionalFormatting sqref="S182:U182 Y182">
    <cfRule type="cellIs" dxfId="2" priority="48" operator="greaterThanOrEqual">
      <formula>100</formula>
    </cfRule>
  </conditionalFormatting>
  <conditionalFormatting sqref="S66:U66 Y66">
    <cfRule type="cellIs" dxfId="0" priority="49" operator="lessThan">
      <formula>80</formula>
    </cfRule>
  </conditionalFormatting>
  <conditionalFormatting sqref="S66:U66 Y66">
    <cfRule type="cellIs" dxfId="1" priority="50" operator="between">
      <formula>80</formula>
      <formula>99.999</formula>
    </cfRule>
  </conditionalFormatting>
  <conditionalFormatting sqref="S66:U66 Y66">
    <cfRule type="cellIs" dxfId="2" priority="51" operator="greaterThanOrEqual">
      <formula>100</formula>
    </cfRule>
  </conditionalFormatting>
  <conditionalFormatting sqref="S93:U93 Y93">
    <cfRule type="cellIs" dxfId="0" priority="52" operator="lessThan">
      <formula>80</formula>
    </cfRule>
  </conditionalFormatting>
  <conditionalFormatting sqref="S93:U93 Y93">
    <cfRule type="cellIs" dxfId="1" priority="53" operator="between">
      <formula>80</formula>
      <formula>99.999</formula>
    </cfRule>
  </conditionalFormatting>
  <conditionalFormatting sqref="S93:U93 Y93">
    <cfRule type="cellIs" dxfId="2" priority="54" operator="greaterThanOrEqual">
      <formula>100</formula>
    </cfRule>
  </conditionalFormatting>
  <conditionalFormatting sqref="S116:U116 Y116">
    <cfRule type="cellIs" dxfId="0" priority="55" operator="lessThan">
      <formula>80</formula>
    </cfRule>
  </conditionalFormatting>
  <conditionalFormatting sqref="S116:U116 Y116">
    <cfRule type="cellIs" dxfId="1" priority="56" operator="between">
      <formula>80</formula>
      <formula>99.999</formula>
    </cfRule>
  </conditionalFormatting>
  <conditionalFormatting sqref="S116:U116 Y116">
    <cfRule type="cellIs" dxfId="2" priority="57" operator="greaterThanOrEqual">
      <formula>100</formula>
    </cfRule>
  </conditionalFormatting>
  <conditionalFormatting sqref="S139:U139 Y139">
    <cfRule type="cellIs" dxfId="0" priority="58" operator="lessThan">
      <formula>80</formula>
    </cfRule>
  </conditionalFormatting>
  <conditionalFormatting sqref="S139:U139 Y139">
    <cfRule type="cellIs" dxfId="1" priority="59" operator="between">
      <formula>80</formula>
      <formula>99.999</formula>
    </cfRule>
  </conditionalFormatting>
  <conditionalFormatting sqref="S139:U139 Y139">
    <cfRule type="cellIs" dxfId="2" priority="60" operator="greaterThanOrEqual">
      <formula>100</formula>
    </cfRule>
  </conditionalFormatting>
  <conditionalFormatting sqref="S162:U162 Y162">
    <cfRule type="cellIs" dxfId="0" priority="61" operator="lessThan">
      <formula>80</formula>
    </cfRule>
  </conditionalFormatting>
  <conditionalFormatting sqref="S162:U162 Y162">
    <cfRule type="cellIs" dxfId="1" priority="62" operator="between">
      <formula>80</formula>
      <formula>99.999</formula>
    </cfRule>
  </conditionalFormatting>
  <conditionalFormatting sqref="S162:U162 Y162">
    <cfRule type="cellIs" dxfId="2" priority="63" operator="greaterThanOrEqual">
      <formula>100</formula>
    </cfRule>
  </conditionalFormatting>
  <conditionalFormatting sqref="S29:U29 Y29">
    <cfRule type="cellIs" dxfId="0" priority="64" operator="lessThan">
      <formula>80</formula>
    </cfRule>
  </conditionalFormatting>
  <conditionalFormatting sqref="S29:U29 Y29">
    <cfRule type="cellIs" dxfId="1" priority="65" operator="between">
      <formula>80</formula>
      <formula>99.999</formula>
    </cfRule>
  </conditionalFormatting>
  <conditionalFormatting sqref="S29:U29 Y29">
    <cfRule type="cellIs" dxfId="2" priority="66" operator="greaterThanOrEqual">
      <formula>100</formula>
    </cfRule>
  </conditionalFormatting>
  <conditionalFormatting sqref="S35:U35 Y35">
    <cfRule type="cellIs" dxfId="0" priority="67" operator="lessThan">
      <formula>80</formula>
    </cfRule>
  </conditionalFormatting>
  <conditionalFormatting sqref="S35:U35 Y35">
    <cfRule type="cellIs" dxfId="1" priority="68" operator="between">
      <formula>80</formula>
      <formula>99.999</formula>
    </cfRule>
  </conditionalFormatting>
  <conditionalFormatting sqref="S35:U35 Y35">
    <cfRule type="cellIs" dxfId="2" priority="69" operator="greaterThanOrEqual">
      <formula>100</formula>
    </cfRule>
  </conditionalFormatting>
  <dataValidations>
    <dataValidation type="decimal" operator="greaterThanOrEqual" allowBlank="1" showInputMessage="1" showErrorMessage="1" prompt="Mohon Perbaiki Isian - Tidak boleh lebih kecil dari Triwulan sebelumnya" sqref="L28:N28 P28:R28 L36:M36 P36:R36 L42:N42 P42:R42 L48:M49 P48:R49 N61:N65 M73:N73 P189:R189">
      <formula1>K28</formula1>
    </dataValidation>
  </dataValidations>
  <printOptions/>
  <pageMargins bottom="0.25" footer="0.0" header="0.0" left="0.2" right="0.2" top="0.25"/>
  <pageSetup paperSize="9" scale="70" orientation="landscape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3.5" customHeight="1"/>
    <row r="2" ht="13.5" customHeight="1"/>
    <row r="3" ht="13.5" customHeight="1"/>
    <row r="4" ht="13.5" customHeight="1"/>
    <row r="5" ht="13.5" customHeight="1"/>
    <row r="6" ht="13.5" customHeight="1"/>
    <row r="7" ht="13.5" customHeight="1"/>
    <row r="8" ht="13.5" customHeight="1"/>
    <row r="9" ht="13.5" customHeight="1"/>
    <row r="10" ht="13.5" customHeight="1"/>
    <row r="11" ht="13.5" customHeight="1"/>
    <row r="12" ht="13.5" customHeight="1"/>
    <row r="13" ht="13.5" customHeight="1"/>
    <row r="14" ht="13.5" customHeight="1"/>
    <row r="15" ht="13.5" customHeight="1"/>
    <row r="16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9.0" topLeftCell="J1" activePane="topRight" state="frozen"/>
      <selection activeCell="K2" sqref="K2" pane="topRight"/>
    </sheetView>
  </sheetViews>
  <sheetFormatPr customHeight="1" defaultColWidth="12.63" defaultRowHeight="15.0"/>
  <cols>
    <col customWidth="1" min="1" max="1" width="4.13"/>
    <col customWidth="1" min="2" max="2" width="3.63"/>
    <col customWidth="1" min="3" max="3" width="2.5"/>
    <col customWidth="1" min="4" max="7" width="7.63"/>
    <col customWidth="1" min="8" max="8" width="32.25"/>
    <col customWidth="1" min="9" max="9" width="8.0"/>
    <col customWidth="1" min="10" max="10" width="14.75"/>
    <col customWidth="1" min="11" max="14" width="7.63"/>
    <col customWidth="1" min="15" max="15" width="9.38"/>
    <col customWidth="1" min="16" max="16" width="7.63"/>
    <col customWidth="1" min="17" max="17" width="5.75"/>
    <col customWidth="1" min="18" max="20" width="7.63"/>
    <col customWidth="1" min="21" max="21" width="9.38"/>
    <col customWidth="1" min="22" max="26" width="7.63"/>
  </cols>
  <sheetData>
    <row r="1" ht="14.25" customHeight="1">
      <c r="I1" s="5">
        <f>SUM(P86,P111,P134,P137,P167,P173,P203,P234,P239,O269,O273,O277,O301,O304,O338,O353,P382,P388,P416,P419)</f>
        <v>109561</v>
      </c>
    </row>
    <row r="2" ht="14.25" customHeight="1">
      <c r="B2" s="4" t="s">
        <v>167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6"/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 ht="14.25" customHeight="1">
      <c r="B3" s="89" t="s">
        <v>2</v>
      </c>
      <c r="C3" s="8"/>
      <c r="D3" s="8"/>
      <c r="E3" s="8"/>
      <c r="F3" s="8"/>
      <c r="G3" s="8"/>
      <c r="H3" s="8"/>
      <c r="I3" s="90"/>
      <c r="J3" s="91" t="s">
        <v>3</v>
      </c>
      <c r="K3" s="11"/>
      <c r="L3" s="11"/>
      <c r="M3" s="11"/>
      <c r="N3" s="11"/>
      <c r="O3" s="11"/>
      <c r="P3" s="11"/>
      <c r="Q3" s="11"/>
      <c r="R3" s="12"/>
      <c r="S3" s="91" t="s">
        <v>4</v>
      </c>
      <c r="T3" s="11"/>
      <c r="U3" s="11"/>
      <c r="V3" s="11"/>
      <c r="W3" s="11"/>
      <c r="X3" s="11"/>
      <c r="Y3" s="12"/>
    </row>
    <row r="4" ht="14.25" customHeight="1">
      <c r="B4" s="13"/>
      <c r="I4" s="92"/>
      <c r="J4" s="93" t="s">
        <v>5</v>
      </c>
      <c r="K4" s="94" t="s">
        <v>62</v>
      </c>
      <c r="L4" s="17"/>
      <c r="M4" s="17"/>
      <c r="N4" s="18"/>
      <c r="O4" s="94" t="s">
        <v>63</v>
      </c>
      <c r="P4" s="17"/>
      <c r="Q4" s="17"/>
      <c r="R4" s="18"/>
      <c r="S4" s="94" t="s">
        <v>64</v>
      </c>
      <c r="T4" s="17"/>
      <c r="U4" s="18"/>
      <c r="V4" s="94" t="s">
        <v>9</v>
      </c>
      <c r="W4" s="17"/>
      <c r="X4" s="17"/>
      <c r="Y4" s="18"/>
    </row>
    <row r="5" ht="14.25" customHeight="1">
      <c r="B5" s="19"/>
      <c r="C5" s="20"/>
      <c r="D5" s="20"/>
      <c r="E5" s="20"/>
      <c r="F5" s="20"/>
      <c r="G5" s="20"/>
      <c r="H5" s="20"/>
      <c r="I5" s="21"/>
      <c r="J5" s="22"/>
      <c r="K5" s="95" t="s">
        <v>10</v>
      </c>
      <c r="L5" s="95" t="s">
        <v>11</v>
      </c>
      <c r="M5" s="95" t="s">
        <v>12</v>
      </c>
      <c r="N5" s="95" t="s">
        <v>13</v>
      </c>
      <c r="O5" s="95" t="s">
        <v>10</v>
      </c>
      <c r="P5" s="95" t="s">
        <v>11</v>
      </c>
      <c r="Q5" s="95" t="s">
        <v>12</v>
      </c>
      <c r="R5" s="95" t="s">
        <v>13</v>
      </c>
      <c r="S5" s="95" t="s">
        <v>10</v>
      </c>
      <c r="T5" s="95" t="s">
        <v>11</v>
      </c>
      <c r="U5" s="95" t="s">
        <v>12</v>
      </c>
      <c r="V5" s="95" t="s">
        <v>10</v>
      </c>
      <c r="W5" s="95" t="s">
        <v>11</v>
      </c>
      <c r="X5" s="95" t="s">
        <v>12</v>
      </c>
      <c r="Y5" s="95" t="s">
        <v>13</v>
      </c>
    </row>
    <row r="6" ht="14.25" customHeight="1">
      <c r="B6" s="97">
        <v>-1.0</v>
      </c>
      <c r="C6" s="27"/>
      <c r="D6" s="27"/>
      <c r="E6" s="27"/>
      <c r="F6" s="27"/>
      <c r="G6" s="27"/>
      <c r="H6" s="27"/>
      <c r="I6" s="98"/>
      <c r="J6" s="99">
        <v>-2.0</v>
      </c>
      <c r="K6" s="99">
        <v>-3.0</v>
      </c>
      <c r="L6" s="99">
        <v>-4.0</v>
      </c>
      <c r="M6" s="99">
        <v>-5.0</v>
      </c>
      <c r="N6" s="99">
        <v>-6.0</v>
      </c>
      <c r="O6" s="99">
        <v>-7.0</v>
      </c>
      <c r="P6" s="99">
        <v>-8.0</v>
      </c>
      <c r="Q6" s="99">
        <v>-9.0</v>
      </c>
      <c r="R6" s="99">
        <v>-10.0</v>
      </c>
      <c r="S6" s="99">
        <v>-11.0</v>
      </c>
      <c r="T6" s="99">
        <v>-12.0</v>
      </c>
      <c r="U6" s="99">
        <v>-13.0</v>
      </c>
      <c r="V6" s="99">
        <v>-14.0</v>
      </c>
      <c r="W6" s="99">
        <v>-15.0</v>
      </c>
      <c r="X6" s="99">
        <v>-16.0</v>
      </c>
      <c r="Y6" s="99">
        <v>-17.0</v>
      </c>
    </row>
    <row r="7" ht="14.25" customHeight="1">
      <c r="B7" s="35"/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</row>
    <row r="8" ht="14.25" customHeight="1">
      <c r="B8" s="77" t="s">
        <v>65</v>
      </c>
      <c r="C8" s="77"/>
      <c r="D8" s="77"/>
      <c r="E8" s="77"/>
      <c r="F8" s="77"/>
      <c r="G8" s="77"/>
      <c r="H8" s="77"/>
      <c r="I8" s="236">
        <v>4.0</v>
      </c>
      <c r="J8" s="103" t="s">
        <v>66</v>
      </c>
      <c r="K8" s="42">
        <v>0.0</v>
      </c>
      <c r="L8" s="42">
        <v>0.0</v>
      </c>
      <c r="M8" s="42">
        <v>2.0</v>
      </c>
      <c r="N8" s="237">
        <f>M8+2</f>
        <v>4</v>
      </c>
      <c r="O8" s="42">
        <v>0.0</v>
      </c>
      <c r="P8" s="42">
        <v>0.0</v>
      </c>
      <c r="Q8" s="42">
        <v>2.0</v>
      </c>
      <c r="R8" s="42">
        <v>4.0</v>
      </c>
      <c r="S8" s="46">
        <f t="shared" ref="S8:U8" si="1">IF(K8=0,0,IF((O8/K8*100)&gt;120,120,O8/K8*100))</f>
        <v>0</v>
      </c>
      <c r="T8" s="46">
        <f t="shared" si="1"/>
        <v>0</v>
      </c>
      <c r="U8" s="46">
        <f t="shared" si="1"/>
        <v>100</v>
      </c>
      <c r="V8" s="46">
        <f t="shared" ref="V8:Y8" si="2">IF($N8=0,0,IF((O8/$N8*100)&gt;120,120,O8/$N8*100))</f>
        <v>0</v>
      </c>
      <c r="W8" s="46">
        <f t="shared" si="2"/>
        <v>0</v>
      </c>
      <c r="X8" s="46">
        <f t="shared" si="2"/>
        <v>50</v>
      </c>
      <c r="Y8" s="46">
        <f t="shared" si="2"/>
        <v>100</v>
      </c>
    </row>
    <row r="9" ht="14.25" customHeight="1">
      <c r="B9" s="77" t="s">
        <v>67</v>
      </c>
      <c r="C9" s="77"/>
      <c r="D9" s="77"/>
      <c r="E9" s="77"/>
      <c r="F9" s="77"/>
      <c r="G9" s="77"/>
      <c r="H9" s="77"/>
      <c r="I9" s="236">
        <v>4.0</v>
      </c>
      <c r="J9" s="103" t="s">
        <v>66</v>
      </c>
      <c r="K9" s="42">
        <v>0.0</v>
      </c>
      <c r="L9" s="42">
        <v>0.0</v>
      </c>
      <c r="M9" s="42">
        <v>2.0</v>
      </c>
      <c r="N9" s="104">
        <v>4.0</v>
      </c>
      <c r="O9" s="42">
        <v>0.0</v>
      </c>
      <c r="P9" s="42">
        <v>0.0</v>
      </c>
      <c r="Q9" s="42">
        <v>2.0</v>
      </c>
      <c r="R9" s="42">
        <v>4.0</v>
      </c>
      <c r="S9" s="46">
        <f t="shared" ref="S9:U9" si="3">IF(K9=0,0,IF((O9/K9*100)&gt;120,120,O9/K9*100))</f>
        <v>0</v>
      </c>
      <c r="T9" s="46">
        <f t="shared" si="3"/>
        <v>0</v>
      </c>
      <c r="U9" s="46">
        <f t="shared" si="3"/>
        <v>100</v>
      </c>
      <c r="V9" s="46">
        <f t="shared" ref="V9:Y9" si="4">IF($N9=0,0,IF((O9/$N9*100)&gt;120,120,O9/$N9*100))</f>
        <v>0</v>
      </c>
      <c r="W9" s="46">
        <f t="shared" si="4"/>
        <v>0</v>
      </c>
      <c r="X9" s="46">
        <f t="shared" si="4"/>
        <v>50</v>
      </c>
      <c r="Y9" s="46">
        <f t="shared" si="4"/>
        <v>100</v>
      </c>
    </row>
    <row r="10" ht="14.25" customHeight="1">
      <c r="B10" s="77" t="s">
        <v>68</v>
      </c>
      <c r="C10" s="77"/>
      <c r="D10" s="77"/>
      <c r="E10" s="77"/>
      <c r="F10" s="77"/>
      <c r="G10" s="77"/>
      <c r="H10" s="77"/>
      <c r="I10" s="236">
        <v>98.0</v>
      </c>
      <c r="J10" s="103" t="s">
        <v>35</v>
      </c>
      <c r="K10" s="42">
        <v>15.0</v>
      </c>
      <c r="L10" s="42">
        <v>40.0</v>
      </c>
      <c r="M10" s="42">
        <v>76.0</v>
      </c>
      <c r="N10" s="104">
        <v>98.0</v>
      </c>
      <c r="O10" s="42">
        <v>15.0</v>
      </c>
      <c r="P10" s="105">
        <v>38.38</v>
      </c>
      <c r="Q10" s="105">
        <v>68.56</v>
      </c>
      <c r="R10" s="42">
        <v>99.0</v>
      </c>
      <c r="S10" s="46">
        <f t="shared" ref="S10:U10" si="5">IF(K10=0,0,IF((O10/K10*100)&gt;120,120,O10/K10*100))</f>
        <v>100</v>
      </c>
      <c r="T10" s="46">
        <f t="shared" si="5"/>
        <v>95.95</v>
      </c>
      <c r="U10" s="46">
        <f t="shared" si="5"/>
        <v>90.21052632</v>
      </c>
      <c r="V10" s="46">
        <f t="shared" ref="V10:Y10" si="6">IF($N10=0,0,IF((O10/$N10*100)&gt;120,120,O10/$N10*100))</f>
        <v>15.30612245</v>
      </c>
      <c r="W10" s="46">
        <f t="shared" si="6"/>
        <v>39.16326531</v>
      </c>
      <c r="X10" s="46">
        <f t="shared" si="6"/>
        <v>69.95918367</v>
      </c>
      <c r="Y10" s="46">
        <f t="shared" si="6"/>
        <v>101.0204082</v>
      </c>
    </row>
    <row r="11" ht="14.25" customHeight="1">
      <c r="B11" s="39"/>
      <c r="C11" s="39"/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</row>
    <row r="12" ht="14.25" customHeight="1">
      <c r="A12" s="1"/>
      <c r="B12" s="238"/>
      <c r="C12" s="239"/>
      <c r="D12" s="240"/>
      <c r="E12" s="240"/>
      <c r="F12" s="240"/>
      <c r="G12" s="241" t="s">
        <v>168</v>
      </c>
      <c r="H12" s="240"/>
      <c r="I12" s="240"/>
      <c r="J12" s="240"/>
      <c r="K12" s="242"/>
      <c r="L12" s="242"/>
      <c r="M12" s="242"/>
      <c r="N12" s="242"/>
      <c r="O12" s="242"/>
      <c r="P12" s="242"/>
      <c r="Q12" s="242"/>
      <c r="R12" s="242"/>
      <c r="S12" s="243">
        <f t="shared" ref="S12:U12" si="7">IF(SUM(K7:K11)&gt;0,SUM(S7:S11)/COUNTIF(K7:K11,"&gt;0"),0)</f>
        <v>100</v>
      </c>
      <c r="T12" s="243">
        <f t="shared" si="7"/>
        <v>95.95</v>
      </c>
      <c r="U12" s="243">
        <f t="shared" si="7"/>
        <v>96.73684211</v>
      </c>
      <c r="V12" s="243">
        <f t="shared" ref="V12:Y12" si="8">AVERAGE(V7:V10)</f>
        <v>5.102040816</v>
      </c>
      <c r="W12" s="243">
        <f t="shared" si="8"/>
        <v>13.05442177</v>
      </c>
      <c r="X12" s="243">
        <f t="shared" si="8"/>
        <v>56.65306122</v>
      </c>
      <c r="Y12" s="243">
        <f t="shared" si="8"/>
        <v>100.3401361</v>
      </c>
    </row>
    <row r="13" ht="14.25" customHeight="1">
      <c r="K13" s="5">
        <f>K8+K21+K35+K49</f>
        <v>3</v>
      </c>
      <c r="V13" s="244">
        <f t="shared" ref="V13:Y13" si="9">AVERAGE(V8:V10)</f>
        <v>5.102040816</v>
      </c>
      <c r="W13" s="244">
        <f t="shared" si="9"/>
        <v>13.05442177</v>
      </c>
      <c r="X13" s="244">
        <f t="shared" si="9"/>
        <v>56.65306122</v>
      </c>
      <c r="Y13" s="244">
        <f t="shared" si="9"/>
        <v>100.3401361</v>
      </c>
    </row>
    <row r="14" ht="14.25" customHeight="1"/>
    <row r="15" ht="14.25" customHeight="1">
      <c r="B15" s="4" t="s">
        <v>169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6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</row>
    <row r="16" ht="15.75" customHeight="1">
      <c r="B16" s="89" t="s">
        <v>2</v>
      </c>
      <c r="C16" s="8"/>
      <c r="D16" s="8"/>
      <c r="E16" s="8"/>
      <c r="F16" s="8"/>
      <c r="G16" s="8"/>
      <c r="H16" s="8"/>
      <c r="I16" s="90"/>
      <c r="J16" s="91" t="s">
        <v>3</v>
      </c>
      <c r="K16" s="11"/>
      <c r="L16" s="11"/>
      <c r="M16" s="11"/>
      <c r="N16" s="11"/>
      <c r="O16" s="11"/>
      <c r="P16" s="11"/>
      <c r="Q16" s="11"/>
      <c r="R16" s="12"/>
      <c r="S16" s="91" t="s">
        <v>4</v>
      </c>
      <c r="T16" s="11"/>
      <c r="U16" s="11"/>
      <c r="V16" s="11"/>
      <c r="W16" s="11"/>
      <c r="X16" s="11"/>
      <c r="Y16" s="12"/>
    </row>
    <row r="17" ht="14.25" customHeight="1">
      <c r="B17" s="13"/>
      <c r="I17" s="92"/>
      <c r="J17" s="93" t="s">
        <v>5</v>
      </c>
      <c r="K17" s="94" t="s">
        <v>62</v>
      </c>
      <c r="L17" s="17"/>
      <c r="M17" s="17"/>
      <c r="N17" s="18"/>
      <c r="O17" s="94" t="s">
        <v>63</v>
      </c>
      <c r="P17" s="17"/>
      <c r="Q17" s="17"/>
      <c r="R17" s="18"/>
      <c r="S17" s="94" t="s">
        <v>64</v>
      </c>
      <c r="T17" s="17"/>
      <c r="U17" s="18"/>
      <c r="V17" s="94" t="s">
        <v>9</v>
      </c>
      <c r="W17" s="17"/>
      <c r="X17" s="17"/>
      <c r="Y17" s="18"/>
    </row>
    <row r="18" ht="14.25" customHeight="1">
      <c r="B18" s="19"/>
      <c r="C18" s="20"/>
      <c r="D18" s="20"/>
      <c r="E18" s="20"/>
      <c r="F18" s="20"/>
      <c r="G18" s="20"/>
      <c r="H18" s="20"/>
      <c r="I18" s="21"/>
      <c r="J18" s="22"/>
      <c r="K18" s="95" t="s">
        <v>10</v>
      </c>
      <c r="L18" s="95" t="s">
        <v>11</v>
      </c>
      <c r="M18" s="95" t="s">
        <v>12</v>
      </c>
      <c r="N18" s="95" t="s">
        <v>13</v>
      </c>
      <c r="O18" s="95" t="s">
        <v>10</v>
      </c>
      <c r="P18" s="95" t="s">
        <v>11</v>
      </c>
      <c r="Q18" s="95" t="s">
        <v>12</v>
      </c>
      <c r="R18" s="95" t="s">
        <v>13</v>
      </c>
      <c r="S18" s="95" t="s">
        <v>10</v>
      </c>
      <c r="T18" s="95" t="s">
        <v>11</v>
      </c>
      <c r="U18" s="95" t="s">
        <v>12</v>
      </c>
      <c r="V18" s="95" t="s">
        <v>10</v>
      </c>
      <c r="W18" s="95" t="s">
        <v>11</v>
      </c>
      <c r="X18" s="95" t="s">
        <v>12</v>
      </c>
      <c r="Y18" s="95" t="s">
        <v>13</v>
      </c>
    </row>
    <row r="19" ht="14.25" customHeight="1">
      <c r="B19" s="97">
        <v>-1.0</v>
      </c>
      <c r="C19" s="27"/>
      <c r="D19" s="27"/>
      <c r="E19" s="27"/>
      <c r="F19" s="27"/>
      <c r="G19" s="27"/>
      <c r="H19" s="27"/>
      <c r="I19" s="98"/>
      <c r="J19" s="99">
        <v>-2.0</v>
      </c>
      <c r="K19" s="99">
        <v>-3.0</v>
      </c>
      <c r="L19" s="99">
        <v>-4.0</v>
      </c>
      <c r="M19" s="99">
        <v>-5.0</v>
      </c>
      <c r="N19" s="99">
        <v>-6.0</v>
      </c>
      <c r="O19" s="99">
        <v>-7.0</v>
      </c>
      <c r="P19" s="99">
        <v>-8.0</v>
      </c>
      <c r="Q19" s="99">
        <v>-9.0</v>
      </c>
      <c r="R19" s="99">
        <v>-10.0</v>
      </c>
      <c r="S19" s="99">
        <v>-11.0</v>
      </c>
      <c r="T19" s="99">
        <v>-12.0</v>
      </c>
      <c r="U19" s="99">
        <v>-13.0</v>
      </c>
      <c r="V19" s="99">
        <v>-14.0</v>
      </c>
      <c r="W19" s="99">
        <v>-15.0</v>
      </c>
      <c r="X19" s="99">
        <v>-16.0</v>
      </c>
      <c r="Y19" s="99">
        <v>-17.0</v>
      </c>
    </row>
    <row r="20" ht="14.25" customHeight="1"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</row>
    <row r="21" ht="14.25" customHeight="1">
      <c r="B21" s="77" t="s">
        <v>65</v>
      </c>
      <c r="C21" s="77"/>
      <c r="D21" s="77"/>
      <c r="E21" s="77"/>
      <c r="F21" s="77"/>
      <c r="G21" s="77"/>
      <c r="H21" s="77"/>
      <c r="I21" s="77">
        <v>3.0</v>
      </c>
      <c r="J21" s="103" t="s">
        <v>66</v>
      </c>
      <c r="K21" s="42">
        <v>1.0</v>
      </c>
      <c r="L21" s="42">
        <v>1.0</v>
      </c>
      <c r="M21" s="42">
        <v>1.0</v>
      </c>
      <c r="N21" s="237">
        <v>3.0</v>
      </c>
      <c r="O21" s="42">
        <v>1.0</v>
      </c>
      <c r="P21" s="42">
        <v>1.0</v>
      </c>
      <c r="Q21" s="42">
        <v>1.0</v>
      </c>
      <c r="R21" s="42">
        <v>3.0</v>
      </c>
      <c r="S21" s="46">
        <f t="shared" ref="S21:U21" si="10">IF(K21=0,0,IF((O21/K21*100)&gt;120,120,O21/K21*100))</f>
        <v>100</v>
      </c>
      <c r="T21" s="46">
        <f t="shared" si="10"/>
        <v>100</v>
      </c>
      <c r="U21" s="46">
        <f t="shared" si="10"/>
        <v>100</v>
      </c>
      <c r="V21" s="46">
        <f t="shared" ref="V21:Y21" si="11">IF($N21=0,0,IF((O21/$N21*100)&gt;120,120,O21/$N21*100))</f>
        <v>33.33333333</v>
      </c>
      <c r="W21" s="46">
        <f t="shared" si="11"/>
        <v>33.33333333</v>
      </c>
      <c r="X21" s="46">
        <f t="shared" si="11"/>
        <v>33.33333333</v>
      </c>
      <c r="Y21" s="46">
        <f t="shared" si="11"/>
        <v>100</v>
      </c>
    </row>
    <row r="22" ht="14.25" customHeight="1">
      <c r="B22" s="77" t="s">
        <v>67</v>
      </c>
      <c r="C22" s="77"/>
      <c r="D22" s="77"/>
      <c r="E22" s="77"/>
      <c r="F22" s="77"/>
      <c r="G22" s="77"/>
      <c r="H22" s="77"/>
      <c r="I22" s="77">
        <v>3.0</v>
      </c>
      <c r="J22" s="103" t="s">
        <v>66</v>
      </c>
      <c r="K22" s="42">
        <v>1.0</v>
      </c>
      <c r="L22" s="42">
        <v>1.0</v>
      </c>
      <c r="M22" s="42">
        <v>1.0</v>
      </c>
      <c r="N22" s="237">
        <v>3.0</v>
      </c>
      <c r="O22" s="42">
        <v>1.0</v>
      </c>
      <c r="P22" s="42">
        <v>1.0</v>
      </c>
      <c r="Q22" s="42">
        <v>1.0</v>
      </c>
      <c r="R22" s="42">
        <v>3.0</v>
      </c>
      <c r="S22" s="46">
        <f t="shared" ref="S22:U22" si="12">IF(K22=0,0,IF((O22/K22*100)&gt;120,120,O22/K22*100))</f>
        <v>100</v>
      </c>
      <c r="T22" s="46">
        <f t="shared" si="12"/>
        <v>100</v>
      </c>
      <c r="U22" s="46">
        <f t="shared" si="12"/>
        <v>100</v>
      </c>
      <c r="V22" s="46">
        <f t="shared" ref="V22:Y22" si="13">IF($N22=0,0,IF((O22/$N22*100)&gt;120,120,O22/$N22*100))</f>
        <v>33.33333333</v>
      </c>
      <c r="W22" s="46">
        <f t="shared" si="13"/>
        <v>33.33333333</v>
      </c>
      <c r="X22" s="46">
        <f t="shared" si="13"/>
        <v>33.33333333</v>
      </c>
      <c r="Y22" s="46">
        <f t="shared" si="13"/>
        <v>100</v>
      </c>
    </row>
    <row r="23" ht="14.25" customHeight="1">
      <c r="B23" s="77" t="s">
        <v>69</v>
      </c>
      <c r="C23" s="77"/>
      <c r="D23" s="77"/>
      <c r="E23" s="77"/>
      <c r="F23" s="77"/>
      <c r="G23" s="77"/>
      <c r="H23" s="77"/>
      <c r="I23" s="77">
        <v>100.0</v>
      </c>
      <c r="J23" s="103" t="s">
        <v>35</v>
      </c>
      <c r="K23" s="42">
        <v>25.0</v>
      </c>
      <c r="L23" s="42">
        <v>50.0</v>
      </c>
      <c r="M23" s="42">
        <v>75.0</v>
      </c>
      <c r="N23" s="42">
        <v>100.0</v>
      </c>
      <c r="O23" s="42">
        <v>25.0</v>
      </c>
      <c r="P23" s="42">
        <v>50.0</v>
      </c>
      <c r="Q23" s="42">
        <v>75.0</v>
      </c>
      <c r="R23" s="42">
        <v>100.0</v>
      </c>
      <c r="S23" s="46">
        <f t="shared" ref="S23:U23" si="14">IF(K23=0,0,IF((O23/K23*100)&gt;120,120,O23/K23*100))</f>
        <v>100</v>
      </c>
      <c r="T23" s="46">
        <f t="shared" si="14"/>
        <v>100</v>
      </c>
      <c r="U23" s="46">
        <f t="shared" si="14"/>
        <v>100</v>
      </c>
      <c r="V23" s="46">
        <f t="shared" ref="V23:Y23" si="15">IF($N23=0,0,IF((O23/$N23*100)&gt;120,120,O23/$N23*100))</f>
        <v>25</v>
      </c>
      <c r="W23" s="46">
        <f t="shared" si="15"/>
        <v>50</v>
      </c>
      <c r="X23" s="46">
        <f t="shared" si="15"/>
        <v>75</v>
      </c>
      <c r="Y23" s="46">
        <f t="shared" si="15"/>
        <v>100</v>
      </c>
    </row>
    <row r="24" ht="14.25" customHeight="1">
      <c r="B24" s="77" t="s">
        <v>70</v>
      </c>
      <c r="C24" s="77"/>
      <c r="D24" s="77"/>
      <c r="E24" s="77"/>
      <c r="F24" s="77"/>
      <c r="G24" s="77"/>
      <c r="H24" s="77"/>
      <c r="I24" s="77">
        <v>100.0</v>
      </c>
      <c r="J24" s="103" t="s">
        <v>35</v>
      </c>
      <c r="K24" s="42">
        <v>25.0</v>
      </c>
      <c r="L24" s="42">
        <v>50.0</v>
      </c>
      <c r="M24" s="42">
        <v>75.0</v>
      </c>
      <c r="N24" s="104">
        <v>100.0</v>
      </c>
      <c r="O24" s="42">
        <v>25.0</v>
      </c>
      <c r="P24" s="42">
        <v>50.0</v>
      </c>
      <c r="Q24" s="42">
        <v>75.0</v>
      </c>
      <c r="R24" s="42">
        <v>100.0</v>
      </c>
      <c r="S24" s="46">
        <f t="shared" ref="S24:U24" si="16">IF(K24=0,0,IF((O24/K24*100)&gt;120,120,O24/K24*100))</f>
        <v>100</v>
      </c>
      <c r="T24" s="46">
        <f t="shared" si="16"/>
        <v>100</v>
      </c>
      <c r="U24" s="46">
        <f t="shared" si="16"/>
        <v>100</v>
      </c>
      <c r="V24" s="46">
        <f t="shared" ref="V24:Y24" si="17">IF($N24=0,0,IF((O24/$N24*100)&gt;120,120,O24/$N24*100))</f>
        <v>25</v>
      </c>
      <c r="W24" s="46">
        <f t="shared" si="17"/>
        <v>50</v>
      </c>
      <c r="X24" s="46">
        <f t="shared" si="17"/>
        <v>75</v>
      </c>
      <c r="Y24" s="46">
        <f t="shared" si="17"/>
        <v>100</v>
      </c>
    </row>
    <row r="25" ht="14.25" customHeight="1">
      <c r="B25" s="39"/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</row>
    <row r="26" ht="14.25" customHeight="1">
      <c r="B26" s="238"/>
      <c r="C26" s="239"/>
      <c r="D26" s="240"/>
      <c r="E26" s="240"/>
      <c r="F26" s="240"/>
      <c r="G26" s="241" t="s">
        <v>170</v>
      </c>
      <c r="H26" s="240"/>
      <c r="I26" s="240"/>
      <c r="J26" s="240"/>
      <c r="K26" s="242"/>
      <c r="L26" s="242"/>
      <c r="M26" s="242"/>
      <c r="N26" s="242"/>
      <c r="O26" s="242"/>
      <c r="P26" s="242"/>
      <c r="Q26" s="242"/>
      <c r="R26" s="242"/>
      <c r="S26" s="243">
        <f t="shared" ref="S26:U26" si="18">IF(SUM(K20:K25)&gt;0,SUM(S20:S25)/COUNTIF(K20:K25,"&gt;0"),0)</f>
        <v>100</v>
      </c>
      <c r="T26" s="243">
        <f t="shared" si="18"/>
        <v>100</v>
      </c>
      <c r="U26" s="243">
        <f t="shared" si="18"/>
        <v>100</v>
      </c>
      <c r="V26" s="243">
        <f t="shared" ref="V26:Y26" si="19">AVERAGE(V20:V24)</f>
        <v>29.16666667</v>
      </c>
      <c r="W26" s="243">
        <f t="shared" si="19"/>
        <v>41.66666667</v>
      </c>
      <c r="X26" s="243">
        <f t="shared" si="19"/>
        <v>54.16666667</v>
      </c>
      <c r="Y26" s="243">
        <f t="shared" si="19"/>
        <v>100</v>
      </c>
    </row>
    <row r="27" ht="14.25" customHeight="1">
      <c r="V27" s="244">
        <f t="shared" ref="V27:Y27" si="20">AVERAGE(V21:V24)</f>
        <v>29.16666667</v>
      </c>
      <c r="W27" s="244">
        <f t="shared" si="20"/>
        <v>41.66666667</v>
      </c>
      <c r="X27" s="244">
        <f t="shared" si="20"/>
        <v>54.16666667</v>
      </c>
      <c r="Y27" s="244">
        <f t="shared" si="20"/>
        <v>100</v>
      </c>
    </row>
    <row r="28" ht="14.25" customHeight="1"/>
    <row r="29" ht="14.25" customHeight="1">
      <c r="B29" s="4" t="s">
        <v>171</v>
      </c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6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 ht="15.75" customHeight="1">
      <c r="B30" s="89" t="s">
        <v>2</v>
      </c>
      <c r="C30" s="8"/>
      <c r="D30" s="8"/>
      <c r="E30" s="8"/>
      <c r="F30" s="8"/>
      <c r="G30" s="8"/>
      <c r="H30" s="8"/>
      <c r="I30" s="90"/>
      <c r="J30" s="91" t="s">
        <v>3</v>
      </c>
      <c r="K30" s="11"/>
      <c r="L30" s="11"/>
      <c r="M30" s="11"/>
      <c r="N30" s="11"/>
      <c r="O30" s="11"/>
      <c r="P30" s="11"/>
      <c r="Q30" s="11"/>
      <c r="R30" s="12"/>
      <c r="S30" s="91" t="s">
        <v>4</v>
      </c>
      <c r="T30" s="11"/>
      <c r="U30" s="11"/>
      <c r="V30" s="11"/>
      <c r="W30" s="11"/>
      <c r="X30" s="11"/>
      <c r="Y30" s="12"/>
    </row>
    <row r="31" ht="14.25" customHeight="1">
      <c r="B31" s="13"/>
      <c r="I31" s="92"/>
      <c r="J31" s="93" t="s">
        <v>5</v>
      </c>
      <c r="K31" s="94" t="s">
        <v>62</v>
      </c>
      <c r="L31" s="17"/>
      <c r="M31" s="17"/>
      <c r="N31" s="18"/>
      <c r="O31" s="94" t="s">
        <v>63</v>
      </c>
      <c r="P31" s="17"/>
      <c r="Q31" s="17"/>
      <c r="R31" s="18"/>
      <c r="S31" s="94" t="s">
        <v>64</v>
      </c>
      <c r="T31" s="17"/>
      <c r="U31" s="18"/>
      <c r="V31" s="94" t="s">
        <v>9</v>
      </c>
      <c r="W31" s="17"/>
      <c r="X31" s="17"/>
      <c r="Y31" s="18"/>
    </row>
    <row r="32" ht="14.25" customHeight="1">
      <c r="B32" s="19"/>
      <c r="C32" s="20"/>
      <c r="D32" s="20"/>
      <c r="E32" s="20"/>
      <c r="F32" s="20"/>
      <c r="G32" s="20"/>
      <c r="H32" s="20"/>
      <c r="I32" s="21"/>
      <c r="J32" s="22"/>
      <c r="K32" s="95" t="s">
        <v>10</v>
      </c>
      <c r="L32" s="95" t="s">
        <v>11</v>
      </c>
      <c r="M32" s="95" t="s">
        <v>12</v>
      </c>
      <c r="N32" s="95" t="s">
        <v>13</v>
      </c>
      <c r="O32" s="95" t="s">
        <v>10</v>
      </c>
      <c r="P32" s="95" t="s">
        <v>11</v>
      </c>
      <c r="Q32" s="95" t="s">
        <v>12</v>
      </c>
      <c r="R32" s="95" t="s">
        <v>13</v>
      </c>
      <c r="S32" s="95" t="s">
        <v>10</v>
      </c>
      <c r="T32" s="95" t="s">
        <v>11</v>
      </c>
      <c r="U32" s="95" t="s">
        <v>12</v>
      </c>
      <c r="V32" s="95" t="s">
        <v>10</v>
      </c>
      <c r="W32" s="95" t="s">
        <v>11</v>
      </c>
      <c r="X32" s="95" t="s">
        <v>12</v>
      </c>
      <c r="Y32" s="95" t="s">
        <v>13</v>
      </c>
    </row>
    <row r="33" ht="14.25" customHeight="1">
      <c r="B33" s="97">
        <v>-1.0</v>
      </c>
      <c r="C33" s="27"/>
      <c r="D33" s="27"/>
      <c r="E33" s="27"/>
      <c r="F33" s="27"/>
      <c r="G33" s="27"/>
      <c r="H33" s="27"/>
      <c r="I33" s="98"/>
      <c r="J33" s="99">
        <v>-2.0</v>
      </c>
      <c r="K33" s="99">
        <v>-3.0</v>
      </c>
      <c r="L33" s="99">
        <v>-4.0</v>
      </c>
      <c r="M33" s="99">
        <v>-5.0</v>
      </c>
      <c r="N33" s="99">
        <v>-6.0</v>
      </c>
      <c r="O33" s="99">
        <v>-7.0</v>
      </c>
      <c r="P33" s="99">
        <v>-8.0</v>
      </c>
      <c r="Q33" s="99">
        <v>-9.0</v>
      </c>
      <c r="R33" s="99">
        <v>-10.0</v>
      </c>
      <c r="S33" s="99">
        <v>-11.0</v>
      </c>
      <c r="T33" s="99">
        <v>-12.0</v>
      </c>
      <c r="U33" s="99">
        <v>-13.0</v>
      </c>
      <c r="V33" s="99">
        <v>-14.0</v>
      </c>
      <c r="W33" s="99">
        <v>-15.0</v>
      </c>
      <c r="X33" s="99">
        <v>-16.0</v>
      </c>
      <c r="Y33" s="99">
        <v>-17.0</v>
      </c>
    </row>
    <row r="34" ht="14.25" customHeight="1">
      <c r="B34" s="35"/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</row>
    <row r="35" ht="14.25" customHeight="1">
      <c r="B35" s="77" t="s">
        <v>65</v>
      </c>
      <c r="C35" s="77"/>
      <c r="D35" s="77"/>
      <c r="E35" s="77"/>
      <c r="F35" s="77"/>
      <c r="G35" s="77"/>
      <c r="H35" s="77"/>
      <c r="I35" s="77">
        <v>2.0</v>
      </c>
      <c r="J35" s="103" t="s">
        <v>66</v>
      </c>
      <c r="K35" s="42">
        <v>0.0</v>
      </c>
      <c r="L35" s="42">
        <v>1.0</v>
      </c>
      <c r="M35" s="42">
        <v>1.0</v>
      </c>
      <c r="N35" s="237">
        <v>2.0</v>
      </c>
      <c r="O35" s="42">
        <v>0.0</v>
      </c>
      <c r="P35" s="42">
        <v>1.0</v>
      </c>
      <c r="Q35" s="42">
        <v>1.0</v>
      </c>
      <c r="R35" s="42">
        <v>2.0</v>
      </c>
      <c r="S35" s="46">
        <f t="shared" ref="S35:U35" si="21">IF(K35=0,0,IF((O35/K35*100)&gt;120,120,O35/K35*100))</f>
        <v>0</v>
      </c>
      <c r="T35" s="46">
        <f t="shared" si="21"/>
        <v>100</v>
      </c>
      <c r="U35" s="46">
        <f t="shared" si="21"/>
        <v>100</v>
      </c>
      <c r="V35" s="46">
        <f t="shared" ref="V35:Y35" si="22">IF($N35=0,0,IF((O35/$N35*100)&gt;120,120,O35/$N35*100))</f>
        <v>0</v>
      </c>
      <c r="W35" s="46">
        <f t="shared" si="22"/>
        <v>50</v>
      </c>
      <c r="X35" s="46">
        <f t="shared" si="22"/>
        <v>50</v>
      </c>
      <c r="Y35" s="46">
        <f t="shared" si="22"/>
        <v>100</v>
      </c>
    </row>
    <row r="36" ht="14.25" customHeight="1">
      <c r="B36" s="77"/>
      <c r="C36" s="77" t="s">
        <v>172</v>
      </c>
      <c r="D36" s="77"/>
      <c r="E36" s="77"/>
      <c r="F36" s="77"/>
      <c r="G36" s="77"/>
      <c r="H36" s="77"/>
      <c r="I36" s="77">
        <v>300.0</v>
      </c>
      <c r="J36" s="103" t="s">
        <v>173</v>
      </c>
      <c r="K36" s="42">
        <v>90.0</v>
      </c>
      <c r="L36" s="42">
        <f>90+60</f>
        <v>150</v>
      </c>
      <c r="M36" s="42">
        <f>150+45</f>
        <v>195</v>
      </c>
      <c r="N36" s="245">
        <v>300.0</v>
      </c>
      <c r="O36" s="42">
        <v>90.0</v>
      </c>
      <c r="P36" s="42">
        <v>150.0</v>
      </c>
      <c r="Q36" s="42">
        <v>195.0</v>
      </c>
      <c r="R36" s="42">
        <v>300.0</v>
      </c>
      <c r="S36" s="46"/>
      <c r="T36" s="46"/>
      <c r="U36" s="46"/>
      <c r="V36" s="46"/>
      <c r="W36" s="46"/>
      <c r="X36" s="46"/>
      <c r="Y36" s="46"/>
    </row>
    <row r="37" ht="14.25" customHeight="1">
      <c r="B37" s="77"/>
      <c r="C37" s="77" t="s">
        <v>174</v>
      </c>
      <c r="D37" s="77"/>
      <c r="E37" s="77"/>
      <c r="F37" s="77"/>
      <c r="G37" s="77"/>
      <c r="H37" s="77"/>
      <c r="I37" s="77">
        <v>70.0</v>
      </c>
      <c r="J37" s="103" t="s">
        <v>173</v>
      </c>
      <c r="K37" s="42">
        <v>14.0</v>
      </c>
      <c r="L37" s="42">
        <v>35.0</v>
      </c>
      <c r="M37" s="42">
        <v>50.0</v>
      </c>
      <c r="N37" s="245">
        <v>70.0</v>
      </c>
      <c r="O37" s="42">
        <v>14.0</v>
      </c>
      <c r="P37" s="42">
        <v>35.0</v>
      </c>
      <c r="Q37" s="42">
        <v>50.0</v>
      </c>
      <c r="R37" s="42">
        <v>70.0</v>
      </c>
      <c r="S37" s="46"/>
      <c r="T37" s="46"/>
      <c r="U37" s="46"/>
      <c r="V37" s="46"/>
      <c r="W37" s="46"/>
      <c r="X37" s="46"/>
      <c r="Y37" s="46"/>
    </row>
    <row r="38" ht="14.25" customHeight="1">
      <c r="B38" s="77" t="s">
        <v>67</v>
      </c>
      <c r="C38" s="77"/>
      <c r="D38" s="77"/>
      <c r="E38" s="77"/>
      <c r="F38" s="77"/>
      <c r="G38" s="77"/>
      <c r="H38" s="77"/>
      <c r="I38" s="77"/>
      <c r="J38" s="103" t="s">
        <v>66</v>
      </c>
      <c r="K38" s="42">
        <v>0.0</v>
      </c>
      <c r="L38" s="42">
        <v>1.0</v>
      </c>
      <c r="M38" s="42">
        <v>1.0</v>
      </c>
      <c r="N38" s="104">
        <v>2.0</v>
      </c>
      <c r="O38" s="42">
        <v>0.0</v>
      </c>
      <c r="P38" s="42">
        <v>1.0</v>
      </c>
      <c r="Q38" s="42">
        <v>1.0</v>
      </c>
      <c r="R38" s="42">
        <v>2.0</v>
      </c>
      <c r="S38" s="46">
        <f t="shared" ref="S38:U38" si="23">IF(K38=0,0,IF((O38/K38*100)&gt;120,120,O38/K38*100))</f>
        <v>0</v>
      </c>
      <c r="T38" s="46">
        <f t="shared" si="23"/>
        <v>100</v>
      </c>
      <c r="U38" s="46">
        <f t="shared" si="23"/>
        <v>100</v>
      </c>
      <c r="V38" s="46">
        <f t="shared" ref="V38:Y38" si="24">IF($N38=0,0,IF((O38/$N38*100)&gt;120,120,O38/$N38*100))</f>
        <v>0</v>
      </c>
      <c r="W38" s="46">
        <f t="shared" si="24"/>
        <v>50</v>
      </c>
      <c r="X38" s="46">
        <f t="shared" si="24"/>
        <v>50</v>
      </c>
      <c r="Y38" s="46">
        <f t="shared" si="24"/>
        <v>100</v>
      </c>
    </row>
    <row r="39" ht="14.25" customHeight="1">
      <c r="B39" s="39"/>
      <c r="C39" s="39"/>
      <c r="D39" s="39"/>
      <c r="E39" s="39"/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</row>
    <row r="40" ht="14.25" customHeight="1">
      <c r="B40" s="238"/>
      <c r="C40" s="239"/>
      <c r="D40" s="240"/>
      <c r="E40" s="240"/>
      <c r="F40" s="240"/>
      <c r="G40" s="241" t="s">
        <v>175</v>
      </c>
      <c r="H40" s="240"/>
      <c r="I40" s="240"/>
      <c r="J40" s="240"/>
      <c r="K40" s="242"/>
      <c r="L40" s="242"/>
      <c r="M40" s="242"/>
      <c r="N40" s="242"/>
      <c r="O40" s="242"/>
      <c r="P40" s="242"/>
      <c r="Q40" s="242"/>
      <c r="R40" s="242"/>
      <c r="S40" s="243">
        <f t="shared" ref="S40:U40" si="25">IF(SUM(K35,K38)&gt;0,SUM(S35,S38)/SUM(COUNTIF(K35,"&gt;0"),COUNTIF(K38,"&gt;0")),0)</f>
        <v>0</v>
      </c>
      <c r="T40" s="243">
        <f t="shared" si="25"/>
        <v>100</v>
      </c>
      <c r="U40" s="243">
        <f t="shared" si="25"/>
        <v>100</v>
      </c>
      <c r="V40" s="243">
        <f t="shared" ref="V40:Y40" si="26">AVERAGE(V34:V37)</f>
        <v>0</v>
      </c>
      <c r="W40" s="243">
        <f t="shared" si="26"/>
        <v>50</v>
      </c>
      <c r="X40" s="243">
        <f t="shared" si="26"/>
        <v>50</v>
      </c>
      <c r="Y40" s="243">
        <f t="shared" si="26"/>
        <v>100</v>
      </c>
    </row>
    <row r="41" ht="14.25" customHeight="1">
      <c r="V41" s="244">
        <f t="shared" ref="V41:Y41" si="27">AVERAGE(V35:V38)</f>
        <v>0</v>
      </c>
      <c r="W41" s="244">
        <f t="shared" si="27"/>
        <v>50</v>
      </c>
      <c r="X41" s="244">
        <f t="shared" si="27"/>
        <v>50</v>
      </c>
      <c r="Y41" s="244">
        <f t="shared" si="27"/>
        <v>100</v>
      </c>
    </row>
    <row r="42" ht="14.25" customHeight="1"/>
    <row r="43" ht="14.25" customHeight="1">
      <c r="B43" s="4" t="s">
        <v>176</v>
      </c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6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 ht="15.75" customHeight="1">
      <c r="B44" s="89" t="s">
        <v>2</v>
      </c>
      <c r="C44" s="8"/>
      <c r="D44" s="8"/>
      <c r="E44" s="8"/>
      <c r="F44" s="8"/>
      <c r="G44" s="8"/>
      <c r="H44" s="8"/>
      <c r="I44" s="90"/>
      <c r="J44" s="91" t="s">
        <v>3</v>
      </c>
      <c r="K44" s="11"/>
      <c r="L44" s="11"/>
      <c r="M44" s="11"/>
      <c r="N44" s="11"/>
      <c r="O44" s="11"/>
      <c r="P44" s="11"/>
      <c r="Q44" s="11"/>
      <c r="R44" s="12"/>
      <c r="S44" s="91" t="s">
        <v>4</v>
      </c>
      <c r="T44" s="11"/>
      <c r="U44" s="11"/>
      <c r="V44" s="11"/>
      <c r="W44" s="11"/>
      <c r="X44" s="11"/>
      <c r="Y44" s="12"/>
    </row>
    <row r="45" ht="14.25" customHeight="1">
      <c r="B45" s="13"/>
      <c r="I45" s="92"/>
      <c r="J45" s="93" t="s">
        <v>5</v>
      </c>
      <c r="K45" s="94" t="s">
        <v>62</v>
      </c>
      <c r="L45" s="17"/>
      <c r="M45" s="17"/>
      <c r="N45" s="18"/>
      <c r="O45" s="94" t="s">
        <v>63</v>
      </c>
      <c r="P45" s="17"/>
      <c r="Q45" s="17"/>
      <c r="R45" s="18"/>
      <c r="S45" s="94" t="s">
        <v>64</v>
      </c>
      <c r="T45" s="17"/>
      <c r="U45" s="18"/>
      <c r="V45" s="94" t="s">
        <v>9</v>
      </c>
      <c r="W45" s="17"/>
      <c r="X45" s="17"/>
      <c r="Y45" s="18"/>
    </row>
    <row r="46" ht="14.25" customHeight="1">
      <c r="B46" s="19"/>
      <c r="C46" s="20"/>
      <c r="D46" s="20"/>
      <c r="E46" s="20"/>
      <c r="F46" s="20"/>
      <c r="G46" s="20"/>
      <c r="H46" s="20"/>
      <c r="I46" s="21"/>
      <c r="J46" s="22"/>
      <c r="K46" s="95" t="s">
        <v>10</v>
      </c>
      <c r="L46" s="95" t="s">
        <v>11</v>
      </c>
      <c r="M46" s="95" t="s">
        <v>12</v>
      </c>
      <c r="N46" s="95" t="s">
        <v>13</v>
      </c>
      <c r="O46" s="95" t="s">
        <v>10</v>
      </c>
      <c r="P46" s="95" t="s">
        <v>11</v>
      </c>
      <c r="Q46" s="95" t="s">
        <v>12</v>
      </c>
      <c r="R46" s="95" t="s">
        <v>13</v>
      </c>
      <c r="S46" s="95" t="s">
        <v>10</v>
      </c>
      <c r="T46" s="95" t="s">
        <v>11</v>
      </c>
      <c r="U46" s="95" t="s">
        <v>12</v>
      </c>
      <c r="V46" s="95" t="s">
        <v>10</v>
      </c>
      <c r="W46" s="95" t="s">
        <v>11</v>
      </c>
      <c r="X46" s="95" t="s">
        <v>12</v>
      </c>
      <c r="Y46" s="95" t="s">
        <v>13</v>
      </c>
    </row>
    <row r="47" ht="14.25" customHeight="1">
      <c r="B47" s="97">
        <v>-1.0</v>
      </c>
      <c r="C47" s="27"/>
      <c r="D47" s="27"/>
      <c r="E47" s="27"/>
      <c r="F47" s="27"/>
      <c r="G47" s="27"/>
      <c r="H47" s="27"/>
      <c r="I47" s="98"/>
      <c r="J47" s="99">
        <v>-2.0</v>
      </c>
      <c r="K47" s="99">
        <v>-3.0</v>
      </c>
      <c r="L47" s="99">
        <v>-4.0</v>
      </c>
      <c r="M47" s="99">
        <v>-5.0</v>
      </c>
      <c r="N47" s="99">
        <v>-6.0</v>
      </c>
      <c r="O47" s="99">
        <v>-7.0</v>
      </c>
      <c r="P47" s="99">
        <v>-8.0</v>
      </c>
      <c r="Q47" s="99">
        <v>-9.0</v>
      </c>
      <c r="R47" s="99">
        <v>-10.0</v>
      </c>
      <c r="S47" s="99">
        <v>-11.0</v>
      </c>
      <c r="T47" s="99">
        <v>-12.0</v>
      </c>
      <c r="U47" s="99">
        <v>-13.0</v>
      </c>
      <c r="V47" s="99">
        <v>-14.0</v>
      </c>
      <c r="W47" s="99">
        <v>-15.0</v>
      </c>
      <c r="X47" s="99">
        <v>-16.0</v>
      </c>
      <c r="Y47" s="99">
        <v>-17.0</v>
      </c>
    </row>
    <row r="48" ht="14.25" customHeight="1">
      <c r="B48" s="35"/>
      <c r="C48" s="35"/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</row>
    <row r="49" ht="14.25" customHeight="1">
      <c r="B49" s="77" t="s">
        <v>65</v>
      </c>
      <c r="C49" s="77"/>
      <c r="D49" s="77"/>
      <c r="E49" s="77"/>
      <c r="F49" s="77"/>
      <c r="G49" s="77"/>
      <c r="H49" s="77"/>
      <c r="I49" s="77">
        <v>7.0</v>
      </c>
      <c r="J49" s="103" t="s">
        <v>66</v>
      </c>
      <c r="K49" s="42">
        <v>2.0</v>
      </c>
      <c r="L49" s="42">
        <v>2.0</v>
      </c>
      <c r="M49" s="42">
        <v>4.0</v>
      </c>
      <c r="N49" s="237">
        <v>7.0</v>
      </c>
      <c r="O49" s="42">
        <v>2.0</v>
      </c>
      <c r="P49" s="42">
        <v>2.0</v>
      </c>
      <c r="Q49" s="42">
        <v>4.0</v>
      </c>
      <c r="R49" s="42">
        <v>7.0</v>
      </c>
      <c r="S49" s="46">
        <f t="shared" ref="S49:U49" si="28">IF(K49=0,0,IF((O49/K49*100)&gt;120,120,O49/K49*100))</f>
        <v>100</v>
      </c>
      <c r="T49" s="46">
        <f t="shared" si="28"/>
        <v>100</v>
      </c>
      <c r="U49" s="46">
        <f t="shared" si="28"/>
        <v>100</v>
      </c>
      <c r="V49" s="46">
        <f t="shared" ref="V49:Y49" si="29">IF($N49=0,0,IF((O49/$N49*100)&gt;120,120,O49/$N49*100))</f>
        <v>28.57142857</v>
      </c>
      <c r="W49" s="46">
        <f t="shared" si="29"/>
        <v>28.57142857</v>
      </c>
      <c r="X49" s="46">
        <f t="shared" si="29"/>
        <v>57.14285714</v>
      </c>
      <c r="Y49" s="46">
        <f t="shared" si="29"/>
        <v>100</v>
      </c>
    </row>
    <row r="50" ht="14.25" customHeight="1">
      <c r="B50" s="77" t="s">
        <v>67</v>
      </c>
      <c r="C50" s="77"/>
      <c r="D50" s="77"/>
      <c r="E50" s="77"/>
      <c r="F50" s="77"/>
      <c r="G50" s="77"/>
      <c r="H50" s="77"/>
      <c r="I50" s="77">
        <v>7.0</v>
      </c>
      <c r="J50" s="103" t="s">
        <v>66</v>
      </c>
      <c r="K50" s="42">
        <v>2.0</v>
      </c>
      <c r="L50" s="42">
        <v>2.0</v>
      </c>
      <c r="M50" s="42">
        <v>4.0</v>
      </c>
      <c r="N50" s="104">
        <v>7.0</v>
      </c>
      <c r="O50" s="42">
        <v>2.0</v>
      </c>
      <c r="P50" s="42">
        <v>2.0</v>
      </c>
      <c r="Q50" s="42">
        <v>4.0</v>
      </c>
      <c r="R50" s="42">
        <v>7.0</v>
      </c>
      <c r="S50" s="46">
        <f t="shared" ref="S50:U50" si="30">IF(K50=0,0,IF((O50/K50*100)&gt;120,120,O50/K50*100))</f>
        <v>100</v>
      </c>
      <c r="T50" s="46">
        <f t="shared" si="30"/>
        <v>100</v>
      </c>
      <c r="U50" s="46">
        <f t="shared" si="30"/>
        <v>100</v>
      </c>
      <c r="V50" s="46">
        <f t="shared" ref="V50:Y50" si="31">IF($N50=0,0,IF((O50/$N50*100)&gt;120,120,O50/$N50*100))</f>
        <v>28.57142857</v>
      </c>
      <c r="W50" s="46">
        <f t="shared" si="31"/>
        <v>28.57142857</v>
      </c>
      <c r="X50" s="46">
        <f t="shared" si="31"/>
        <v>57.14285714</v>
      </c>
      <c r="Y50" s="46">
        <f t="shared" si="31"/>
        <v>100</v>
      </c>
    </row>
    <row r="51" ht="14.25" customHeight="1">
      <c r="B51" s="39"/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</row>
    <row r="52" ht="14.25" customHeight="1">
      <c r="B52" s="238"/>
      <c r="C52" s="239"/>
      <c r="D52" s="240"/>
      <c r="E52" s="240"/>
      <c r="F52" s="240"/>
      <c r="G52" s="241" t="s">
        <v>177</v>
      </c>
      <c r="H52" s="240"/>
      <c r="I52" s="240"/>
      <c r="J52" s="240"/>
      <c r="K52" s="242"/>
      <c r="L52" s="242"/>
      <c r="M52" s="242"/>
      <c r="N52" s="242"/>
      <c r="O52" s="242"/>
      <c r="P52" s="242"/>
      <c r="Q52" s="242"/>
      <c r="R52" s="242"/>
      <c r="S52" s="243">
        <f t="shared" ref="S52:U52" si="32">IF(SUM(K48:K51)&gt;0,SUM(S48:S51)/COUNTIF(K48:K51,"&gt;0"),0)</f>
        <v>100</v>
      </c>
      <c r="T52" s="243">
        <f t="shared" si="32"/>
        <v>100</v>
      </c>
      <c r="U52" s="243">
        <f t="shared" si="32"/>
        <v>100</v>
      </c>
      <c r="V52" s="243">
        <f t="shared" ref="V52:Y52" si="33">IF(SUM($N48:$N51)&gt;0,SUM(V48:V51)/COUNTIF($N48:$N51,"&gt;0"),0)</f>
        <v>28.57142857</v>
      </c>
      <c r="W52" s="243">
        <f t="shared" si="33"/>
        <v>28.57142857</v>
      </c>
      <c r="X52" s="243">
        <f t="shared" si="33"/>
        <v>57.14285714</v>
      </c>
      <c r="Y52" s="243">
        <f t="shared" si="33"/>
        <v>100</v>
      </c>
    </row>
    <row r="53" ht="14.25" customHeight="1"/>
    <row r="54" ht="21.75" customHeight="1">
      <c r="B54" s="4" t="s">
        <v>178</v>
      </c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6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</row>
    <row r="55" ht="15.75" customHeight="1">
      <c r="B55" s="89" t="s">
        <v>2</v>
      </c>
      <c r="C55" s="8"/>
      <c r="D55" s="8"/>
      <c r="E55" s="8"/>
      <c r="F55" s="8"/>
      <c r="G55" s="8"/>
      <c r="H55" s="8"/>
      <c r="I55" s="90"/>
      <c r="J55" s="91" t="s">
        <v>3</v>
      </c>
      <c r="K55" s="11"/>
      <c r="L55" s="11"/>
      <c r="M55" s="11"/>
      <c r="N55" s="11"/>
      <c r="O55" s="11"/>
      <c r="P55" s="11"/>
      <c r="Q55" s="11"/>
      <c r="R55" s="12"/>
      <c r="S55" s="91" t="s">
        <v>4</v>
      </c>
      <c r="T55" s="11"/>
      <c r="U55" s="11"/>
      <c r="V55" s="11"/>
      <c r="W55" s="11"/>
      <c r="X55" s="11"/>
      <c r="Y55" s="12"/>
    </row>
    <row r="56" ht="14.25" customHeight="1">
      <c r="B56" s="13"/>
      <c r="I56" s="92"/>
      <c r="J56" s="93" t="s">
        <v>5</v>
      </c>
      <c r="K56" s="94" t="s">
        <v>62</v>
      </c>
      <c r="L56" s="17"/>
      <c r="M56" s="17"/>
      <c r="N56" s="18"/>
      <c r="O56" s="94" t="s">
        <v>63</v>
      </c>
      <c r="P56" s="17"/>
      <c r="Q56" s="17"/>
      <c r="R56" s="18"/>
      <c r="S56" s="94" t="s">
        <v>64</v>
      </c>
      <c r="T56" s="17"/>
      <c r="U56" s="18"/>
      <c r="V56" s="94" t="s">
        <v>9</v>
      </c>
      <c r="W56" s="17"/>
      <c r="X56" s="17"/>
      <c r="Y56" s="18"/>
    </row>
    <row r="57" ht="14.25" customHeight="1">
      <c r="B57" s="19"/>
      <c r="C57" s="20"/>
      <c r="D57" s="20"/>
      <c r="E57" s="20"/>
      <c r="F57" s="20"/>
      <c r="G57" s="20"/>
      <c r="H57" s="20"/>
      <c r="I57" s="21"/>
      <c r="J57" s="22"/>
      <c r="K57" s="95" t="s">
        <v>10</v>
      </c>
      <c r="L57" s="95" t="s">
        <v>11</v>
      </c>
      <c r="M57" s="95" t="s">
        <v>12</v>
      </c>
      <c r="N57" s="95" t="s">
        <v>13</v>
      </c>
      <c r="O57" s="95" t="s">
        <v>10</v>
      </c>
      <c r="P57" s="95" t="s">
        <v>11</v>
      </c>
      <c r="Q57" s="95" t="s">
        <v>12</v>
      </c>
      <c r="R57" s="95" t="s">
        <v>13</v>
      </c>
      <c r="S57" s="95" t="s">
        <v>10</v>
      </c>
      <c r="T57" s="95" t="s">
        <v>11</v>
      </c>
      <c r="U57" s="95" t="s">
        <v>12</v>
      </c>
      <c r="V57" s="95" t="s">
        <v>10</v>
      </c>
      <c r="W57" s="95" t="s">
        <v>11</v>
      </c>
      <c r="X57" s="95" t="s">
        <v>12</v>
      </c>
      <c r="Y57" s="95" t="s">
        <v>13</v>
      </c>
    </row>
    <row r="58" ht="14.25" customHeight="1">
      <c r="B58" s="97">
        <v>-1.0</v>
      </c>
      <c r="C58" s="27"/>
      <c r="D58" s="27"/>
      <c r="E58" s="27"/>
      <c r="F58" s="27"/>
      <c r="G58" s="27"/>
      <c r="H58" s="27"/>
      <c r="I58" s="98"/>
      <c r="J58" s="99">
        <v>-2.0</v>
      </c>
      <c r="K58" s="99">
        <v>-3.0</v>
      </c>
      <c r="L58" s="99">
        <v>-4.0</v>
      </c>
      <c r="M58" s="99">
        <v>-5.0</v>
      </c>
      <c r="N58" s="99">
        <v>-6.0</v>
      </c>
      <c r="O58" s="99">
        <v>-7.0</v>
      </c>
      <c r="P58" s="99">
        <v>-8.0</v>
      </c>
      <c r="Q58" s="99">
        <v>-9.0</v>
      </c>
      <c r="R58" s="99">
        <v>-10.0</v>
      </c>
      <c r="S58" s="99">
        <v>-11.0</v>
      </c>
      <c r="T58" s="99">
        <v>-12.0</v>
      </c>
      <c r="U58" s="99">
        <v>-13.0</v>
      </c>
      <c r="V58" s="99">
        <v>-14.0</v>
      </c>
      <c r="W58" s="99">
        <v>-15.0</v>
      </c>
      <c r="X58" s="99">
        <v>-16.0</v>
      </c>
      <c r="Y58" s="99">
        <v>-17.0</v>
      </c>
    </row>
    <row r="59" ht="14.25" customHeight="1"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</row>
    <row r="60" ht="14.25" customHeight="1">
      <c r="B60" s="77" t="s">
        <v>71</v>
      </c>
      <c r="C60" s="77"/>
      <c r="D60" s="77"/>
      <c r="E60" s="77"/>
      <c r="F60" s="77"/>
      <c r="G60" s="77"/>
      <c r="H60" s="77"/>
      <c r="I60" s="77"/>
      <c r="J60" s="103" t="s">
        <v>35</v>
      </c>
      <c r="K60" s="106">
        <f t="shared" ref="K60:M60" si="34">(IF($N61&gt;0,K61/$N61*100,0)+IF($N62&gt;0,K62/$N62*100,0)+IF($N63&gt;0,K63/$N63*100,0)+IF($N64&gt;0,K64/$N64*100,0)+IF($N65&gt;0,K65/$N65*100,0)+IF($N66&gt;0,K66/$N66*100,0))/1</f>
        <v>31.87772926</v>
      </c>
      <c r="L60" s="106">
        <f t="shared" si="34"/>
        <v>64.19213974</v>
      </c>
      <c r="M60" s="246">
        <f t="shared" si="34"/>
        <v>82.09606987</v>
      </c>
      <c r="N60" s="107">
        <f>(IF($N61&gt;0,N61/$N61*100,0)+IF($N62&gt;0,N62/$N62*100,0)+IF($N63&gt;0,N63/$N63*100,0)+IF($N64&gt;0,N64/$N64*100,0)+IF($N65&gt;0,N65/$N65*100,0)+IF($N66&gt;0,N66/$N66*100,0))/3</f>
        <v>100</v>
      </c>
      <c r="O60" s="108">
        <f t="shared" ref="O60:Q60" si="35">(IF($N61&gt;0,O61/$N61*100,0)+IF($N62&gt;0,O62/$N62*100,0)+IF($N63&gt;0,O63/$N63*100,0)+IF($N64&gt;0,O64/$N64*100,0)+IF($N65&gt;0,O65/$N65*100,0)+IF($N66&gt;0,O66/$N66*100,0))/1</f>
        <v>31.87772926</v>
      </c>
      <c r="P60" s="106">
        <f t="shared" si="35"/>
        <v>64.19213974</v>
      </c>
      <c r="Q60" s="106">
        <f t="shared" si="35"/>
        <v>82.09606987</v>
      </c>
      <c r="R60" s="106">
        <f>(IF($N61&gt;0,R61/$N61*100,0)+IF($N62&gt;0,R62/$N62*100,0)+IF($N63&gt;0,R63/$N63*100,0)+IF($N64&gt;0,R64/$N64*100,0)+IF($N65&gt;0,R65/$N65*100,0)+IF($N66&gt;0,R66/$N66*100,0))/3</f>
        <v>100</v>
      </c>
      <c r="S60" s="46">
        <f t="shared" ref="S60:U60" si="36">IF(K60=0,0,IF((O60/K60*100)&gt;120,120,O60/K60*100))</f>
        <v>100</v>
      </c>
      <c r="T60" s="46">
        <f t="shared" si="36"/>
        <v>100</v>
      </c>
      <c r="U60" s="46">
        <f t="shared" si="36"/>
        <v>100</v>
      </c>
      <c r="V60" s="46">
        <f t="shared" ref="V60:Y60" si="37">IF($N60=0,0,IF((O60/$N60*100)&gt;120,120,O60/$N60*100))</f>
        <v>31.87772926</v>
      </c>
      <c r="W60" s="46">
        <f t="shared" si="37"/>
        <v>64.19213974</v>
      </c>
      <c r="X60" s="46">
        <f t="shared" si="37"/>
        <v>82.09606987</v>
      </c>
      <c r="Y60" s="46">
        <f t="shared" si="37"/>
        <v>100</v>
      </c>
    </row>
    <row r="61" ht="14.25" customHeight="1">
      <c r="B61" s="77"/>
      <c r="C61" s="77" t="s">
        <v>72</v>
      </c>
      <c r="D61" s="77"/>
      <c r="E61" s="77"/>
      <c r="F61" s="77"/>
      <c r="G61" s="77"/>
      <c r="H61" s="77"/>
      <c r="I61" s="77"/>
      <c r="J61" s="110" t="s">
        <v>73</v>
      </c>
      <c r="K61" s="42"/>
      <c r="L61" s="42"/>
      <c r="M61" s="42"/>
      <c r="N61" s="42">
        <v>0.0</v>
      </c>
      <c r="O61" s="42"/>
      <c r="P61" s="42"/>
      <c r="Q61" s="42"/>
      <c r="R61" s="42">
        <v>0.0</v>
      </c>
      <c r="S61" s="111"/>
      <c r="T61" s="111"/>
      <c r="U61" s="111"/>
      <c r="V61" s="111"/>
      <c r="W61" s="111"/>
      <c r="X61" s="111"/>
      <c r="Y61" s="111"/>
    </row>
    <row r="62" ht="14.25" customHeight="1">
      <c r="B62" s="77"/>
      <c r="C62" s="77" t="s">
        <v>74</v>
      </c>
      <c r="D62" s="77"/>
      <c r="E62" s="77"/>
      <c r="F62" s="77"/>
      <c r="G62" s="77"/>
      <c r="H62" s="77"/>
      <c r="I62" s="77"/>
      <c r="J62" s="110" t="s">
        <v>73</v>
      </c>
      <c r="K62" s="42"/>
      <c r="L62" s="42"/>
      <c r="M62" s="42"/>
      <c r="N62" s="42">
        <f>5+10+1+1+4</f>
        <v>21</v>
      </c>
      <c r="O62" s="42"/>
      <c r="P62" s="42"/>
      <c r="Q62" s="42"/>
      <c r="R62" s="42">
        <v>21.0</v>
      </c>
      <c r="S62" s="111"/>
      <c r="T62" s="111"/>
      <c r="U62" s="111"/>
      <c r="V62" s="111"/>
      <c r="W62" s="111"/>
      <c r="X62" s="111"/>
      <c r="Y62" s="111"/>
    </row>
    <row r="63" ht="14.25" customHeight="1">
      <c r="B63" s="77"/>
      <c r="C63" s="77" t="s">
        <v>75</v>
      </c>
      <c r="D63" s="77"/>
      <c r="E63" s="77"/>
      <c r="F63" s="77"/>
      <c r="G63" s="77"/>
      <c r="H63" s="77"/>
      <c r="I63" s="77"/>
      <c r="J63" s="110" t="s">
        <v>73</v>
      </c>
      <c r="K63" s="42"/>
      <c r="L63" s="42"/>
      <c r="M63" s="42"/>
      <c r="N63" s="42">
        <f>3+4+1+1</f>
        <v>9</v>
      </c>
      <c r="O63" s="42"/>
      <c r="P63" s="42"/>
      <c r="Q63" s="42"/>
      <c r="R63" s="42">
        <v>9.0</v>
      </c>
      <c r="S63" s="111"/>
      <c r="T63" s="111"/>
      <c r="U63" s="111"/>
      <c r="V63" s="111"/>
      <c r="W63" s="111"/>
      <c r="X63" s="111"/>
      <c r="Y63" s="111"/>
    </row>
    <row r="64" ht="14.25" customHeight="1">
      <c r="B64" s="77"/>
      <c r="C64" s="77" t="s">
        <v>76</v>
      </c>
      <c r="D64" s="77"/>
      <c r="E64" s="77"/>
      <c r="F64" s="77"/>
      <c r="G64" s="77"/>
      <c r="H64" s="77"/>
      <c r="I64" s="77"/>
      <c r="J64" s="110" t="s">
        <v>77</v>
      </c>
      <c r="K64" s="42"/>
      <c r="L64" s="42"/>
      <c r="M64" s="42"/>
      <c r="N64" s="42">
        <v>0.0</v>
      </c>
      <c r="O64" s="42"/>
      <c r="P64" s="42"/>
      <c r="Q64" s="42"/>
      <c r="R64" s="42">
        <v>0.0</v>
      </c>
      <c r="S64" s="111"/>
      <c r="T64" s="111"/>
      <c r="U64" s="111"/>
      <c r="V64" s="111"/>
      <c r="W64" s="111"/>
      <c r="X64" s="111"/>
      <c r="Y64" s="111"/>
    </row>
    <row r="65" ht="14.25" customHeight="1">
      <c r="B65" s="77"/>
      <c r="C65" s="77" t="s">
        <v>78</v>
      </c>
      <c r="D65" s="77"/>
      <c r="E65" s="77"/>
      <c r="F65" s="77"/>
      <c r="G65" s="77"/>
      <c r="H65" s="77"/>
      <c r="I65" s="77"/>
      <c r="J65" s="110" t="s">
        <v>77</v>
      </c>
      <c r="K65" s="42"/>
      <c r="L65" s="42"/>
      <c r="M65" s="42"/>
      <c r="N65" s="42">
        <v>0.0</v>
      </c>
      <c r="O65" s="42"/>
      <c r="P65" s="42"/>
      <c r="Q65" s="42"/>
      <c r="R65" s="42">
        <v>0.0</v>
      </c>
      <c r="S65" s="111"/>
      <c r="T65" s="111"/>
      <c r="U65" s="111"/>
      <c r="V65" s="111"/>
      <c r="W65" s="111"/>
      <c r="X65" s="111"/>
      <c r="Y65" s="111"/>
    </row>
    <row r="66" ht="14.25" customHeight="1">
      <c r="B66" s="77"/>
      <c r="C66" s="77" t="s">
        <v>79</v>
      </c>
      <c r="D66" s="77"/>
      <c r="E66" s="77"/>
      <c r="F66" s="77"/>
      <c r="G66" s="77"/>
      <c r="H66" s="77"/>
      <c r="I66" s="77"/>
      <c r="J66" s="110" t="s">
        <v>80</v>
      </c>
      <c r="K66" s="42">
        <v>73.0</v>
      </c>
      <c r="L66" s="42">
        <v>147.0</v>
      </c>
      <c r="M66" s="42">
        <v>188.0</v>
      </c>
      <c r="N66" s="42">
        <v>229.0</v>
      </c>
      <c r="O66" s="42">
        <v>73.0</v>
      </c>
      <c r="P66" s="42">
        <v>147.0</v>
      </c>
      <c r="Q66" s="42">
        <v>188.0</v>
      </c>
      <c r="R66" s="42">
        <v>229.0</v>
      </c>
      <c r="S66" s="111"/>
      <c r="T66" s="111"/>
      <c r="U66" s="111"/>
      <c r="V66" s="111"/>
      <c r="W66" s="111"/>
      <c r="X66" s="111"/>
      <c r="Y66" s="111"/>
    </row>
    <row r="67" ht="14.25" customHeight="1">
      <c r="B67" s="39"/>
      <c r="C67" s="39"/>
      <c r="D67" s="39"/>
      <c r="E67" s="39"/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</row>
    <row r="68" ht="14.25" customHeight="1">
      <c r="B68" s="238"/>
      <c r="C68" s="239"/>
      <c r="D68" s="240"/>
      <c r="E68" s="240"/>
      <c r="F68" s="240"/>
      <c r="G68" s="241" t="s">
        <v>179</v>
      </c>
      <c r="H68" s="240"/>
      <c r="I68" s="240"/>
      <c r="J68" s="240"/>
      <c r="K68" s="242"/>
      <c r="L68" s="242"/>
      <c r="M68" s="242"/>
      <c r="N68" s="242"/>
      <c r="O68" s="242"/>
      <c r="P68" s="242"/>
      <c r="Q68" s="242"/>
      <c r="R68" s="242"/>
      <c r="S68" s="243">
        <f t="shared" ref="S68:U68" si="38">IF(SUM(K60)&gt;0,SUM(S60)/COUNTIF(K60,"&gt;0"),0)</f>
        <v>100</v>
      </c>
      <c r="T68" s="243">
        <f t="shared" si="38"/>
        <v>100</v>
      </c>
      <c r="U68" s="243">
        <f t="shared" si="38"/>
        <v>100</v>
      </c>
      <c r="V68" s="243">
        <f t="shared" ref="V68:Y68" si="39">AVERAGEA(V60)</f>
        <v>31.87772926</v>
      </c>
      <c r="W68" s="243">
        <f t="shared" si="39"/>
        <v>64.19213974</v>
      </c>
      <c r="X68" s="243">
        <f t="shared" si="39"/>
        <v>82.09606987</v>
      </c>
      <c r="Y68" s="243">
        <f t="shared" si="39"/>
        <v>100</v>
      </c>
    </row>
    <row r="69" ht="14.25" customHeight="1"/>
    <row r="70" ht="21.0" customHeight="1">
      <c r="B70" s="4" t="s">
        <v>180</v>
      </c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6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</row>
    <row r="71" ht="15.75" customHeight="1">
      <c r="B71" s="118" t="s">
        <v>2</v>
      </c>
      <c r="C71" s="8"/>
      <c r="D71" s="8"/>
      <c r="E71" s="8"/>
      <c r="F71" s="8"/>
      <c r="G71" s="8"/>
      <c r="H71" s="8"/>
      <c r="I71" s="247"/>
      <c r="J71" s="121" t="s">
        <v>3</v>
      </c>
      <c r="K71" s="11"/>
      <c r="L71" s="11"/>
      <c r="M71" s="11"/>
      <c r="N71" s="11"/>
      <c r="O71" s="11"/>
      <c r="P71" s="11"/>
      <c r="Q71" s="11"/>
      <c r="R71" s="12"/>
      <c r="S71" s="121" t="s">
        <v>4</v>
      </c>
      <c r="T71" s="11"/>
      <c r="U71" s="11"/>
      <c r="V71" s="11"/>
      <c r="W71" s="11"/>
      <c r="X71" s="11"/>
      <c r="Y71" s="12"/>
    </row>
    <row r="72" ht="14.25" customHeight="1">
      <c r="B72" s="13"/>
      <c r="I72" s="92"/>
      <c r="J72" s="124" t="s">
        <v>5</v>
      </c>
      <c r="K72" s="125" t="s">
        <v>62</v>
      </c>
      <c r="L72" s="17"/>
      <c r="M72" s="17"/>
      <c r="N72" s="18"/>
      <c r="O72" s="125" t="s">
        <v>63</v>
      </c>
      <c r="P72" s="17"/>
      <c r="Q72" s="17"/>
      <c r="R72" s="18"/>
      <c r="S72" s="125" t="s">
        <v>64</v>
      </c>
      <c r="T72" s="17"/>
      <c r="U72" s="18"/>
      <c r="V72" s="125" t="s">
        <v>9</v>
      </c>
      <c r="W72" s="17"/>
      <c r="X72" s="17"/>
      <c r="Y72" s="18"/>
    </row>
    <row r="73" ht="14.25" customHeight="1">
      <c r="B73" s="19"/>
      <c r="C73" s="20"/>
      <c r="D73" s="20"/>
      <c r="E73" s="20"/>
      <c r="F73" s="20"/>
      <c r="G73" s="20"/>
      <c r="H73" s="20"/>
      <c r="I73" s="21"/>
      <c r="J73" s="22"/>
      <c r="K73" s="127" t="s">
        <v>10</v>
      </c>
      <c r="L73" s="127" t="s">
        <v>11</v>
      </c>
      <c r="M73" s="127" t="s">
        <v>12</v>
      </c>
      <c r="N73" s="127" t="s">
        <v>13</v>
      </c>
      <c r="O73" s="127" t="s">
        <v>10</v>
      </c>
      <c r="P73" s="127" t="s">
        <v>11</v>
      </c>
      <c r="Q73" s="127" t="s">
        <v>12</v>
      </c>
      <c r="R73" s="127" t="s">
        <v>13</v>
      </c>
      <c r="S73" s="127" t="s">
        <v>10</v>
      </c>
      <c r="T73" s="127" t="s">
        <v>11</v>
      </c>
      <c r="U73" s="127" t="s">
        <v>12</v>
      </c>
      <c r="V73" s="127" t="s">
        <v>10</v>
      </c>
      <c r="W73" s="127" t="s">
        <v>11</v>
      </c>
      <c r="X73" s="127" t="s">
        <v>12</v>
      </c>
      <c r="Y73" s="127" t="s">
        <v>13</v>
      </c>
    </row>
    <row r="74" ht="14.25" customHeight="1">
      <c r="B74" s="129">
        <v>-1.0</v>
      </c>
      <c r="C74" s="27"/>
      <c r="D74" s="27"/>
      <c r="E74" s="27"/>
      <c r="F74" s="27"/>
      <c r="G74" s="27"/>
      <c r="H74" s="27"/>
      <c r="I74" s="248"/>
      <c r="J74" s="131">
        <v>-2.0</v>
      </c>
      <c r="K74" s="131">
        <v>-3.0</v>
      </c>
      <c r="L74" s="131">
        <v>-4.0</v>
      </c>
      <c r="M74" s="131">
        <v>-5.0</v>
      </c>
      <c r="N74" s="131">
        <v>-6.0</v>
      </c>
      <c r="O74" s="131">
        <v>-7.0</v>
      </c>
      <c r="P74" s="131">
        <v>-8.0</v>
      </c>
      <c r="Q74" s="131">
        <v>-9.0</v>
      </c>
      <c r="R74" s="131">
        <v>-10.0</v>
      </c>
      <c r="S74" s="131">
        <v>-11.0</v>
      </c>
      <c r="T74" s="131">
        <v>-12.0</v>
      </c>
      <c r="U74" s="131">
        <v>-13.0</v>
      </c>
      <c r="V74" s="131">
        <v>-14.0</v>
      </c>
      <c r="W74" s="131">
        <v>-15.0</v>
      </c>
      <c r="X74" s="131">
        <v>-16.0</v>
      </c>
      <c r="Y74" s="131">
        <v>-17.0</v>
      </c>
    </row>
    <row r="75" ht="14.25" customHeight="1">
      <c r="B75" s="35"/>
      <c r="C75" s="35"/>
      <c r="D75" s="35"/>
      <c r="E75" s="35"/>
      <c r="F75" s="35"/>
      <c r="G75" s="35"/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</row>
    <row r="76" ht="14.25" customHeight="1">
      <c r="B76" s="77" t="s">
        <v>181</v>
      </c>
      <c r="C76" s="77"/>
      <c r="D76" s="77"/>
      <c r="E76" s="77"/>
      <c r="F76" s="77"/>
      <c r="G76" s="77"/>
      <c r="H76" s="77"/>
      <c r="I76" s="159">
        <v>7.0</v>
      </c>
      <c r="J76" s="133" t="s">
        <v>85</v>
      </c>
      <c r="K76" s="135">
        <f t="shared" ref="K76:Q76" si="40">SUM(K77:K78)</f>
        <v>0</v>
      </c>
      <c r="L76" s="135">
        <f t="shared" si="40"/>
        <v>4</v>
      </c>
      <c r="M76" s="249">
        <f t="shared" si="40"/>
        <v>4</v>
      </c>
      <c r="N76" s="250">
        <f t="shared" si="40"/>
        <v>7</v>
      </c>
      <c r="O76" s="251">
        <f t="shared" si="40"/>
        <v>0</v>
      </c>
      <c r="P76" s="135">
        <f t="shared" si="40"/>
        <v>4</v>
      </c>
      <c r="Q76" s="249">
        <f t="shared" si="40"/>
        <v>4</v>
      </c>
      <c r="R76" s="135"/>
      <c r="S76" s="46">
        <f t="shared" ref="S76:U76" si="41">IF(K76=0,0,IF((O76/K76*100)&gt;120,120,O76/K76*100))</f>
        <v>0</v>
      </c>
      <c r="T76" s="46">
        <f t="shared" si="41"/>
        <v>100</v>
      </c>
      <c r="U76" s="46">
        <f t="shared" si="41"/>
        <v>100</v>
      </c>
      <c r="V76" s="46">
        <f t="shared" ref="V76:Y76" si="42">IF($N76=0,0,IF((O76/$N76*100)&gt;120,120,O76/$N76*100))</f>
        <v>0</v>
      </c>
      <c r="W76" s="46">
        <f t="shared" si="42"/>
        <v>57.14285714</v>
      </c>
      <c r="X76" s="46">
        <f t="shared" si="42"/>
        <v>57.14285714</v>
      </c>
      <c r="Y76" s="46">
        <f t="shared" si="42"/>
        <v>0</v>
      </c>
    </row>
    <row r="77" ht="14.25" customHeight="1">
      <c r="B77" s="77"/>
      <c r="C77" s="77" t="s">
        <v>182</v>
      </c>
      <c r="D77" s="77"/>
      <c r="E77" s="77"/>
      <c r="F77" s="77"/>
      <c r="G77" s="77"/>
      <c r="H77" s="77"/>
      <c r="I77" s="159">
        <v>5.0</v>
      </c>
      <c r="J77" s="136" t="s">
        <v>87</v>
      </c>
      <c r="K77" s="42">
        <v>0.0</v>
      </c>
      <c r="L77" s="42">
        <v>3.0</v>
      </c>
      <c r="M77" s="42">
        <v>3.0</v>
      </c>
      <c r="N77" s="42">
        <v>5.0</v>
      </c>
      <c r="O77" s="42">
        <v>0.0</v>
      </c>
      <c r="P77" s="42">
        <v>3.0</v>
      </c>
      <c r="Q77" s="252">
        <v>3.0</v>
      </c>
      <c r="R77" s="42"/>
      <c r="S77" s="46">
        <f t="shared" ref="S77:U77" si="43">IF(K77=0,0,IF((O77/K77*100)&gt;120,120,O77/K77*100))</f>
        <v>0</v>
      </c>
      <c r="T77" s="46">
        <f t="shared" si="43"/>
        <v>100</v>
      </c>
      <c r="U77" s="46">
        <f t="shared" si="43"/>
        <v>100</v>
      </c>
      <c r="V77" s="46">
        <f t="shared" ref="V77:Y77" si="44">IF($N77=0,0,IF((O77/$N77*100)&gt;120,120,O77/$N77*100))</f>
        <v>0</v>
      </c>
      <c r="W77" s="46">
        <f t="shared" si="44"/>
        <v>60</v>
      </c>
      <c r="X77" s="46">
        <f t="shared" si="44"/>
        <v>60</v>
      </c>
      <c r="Y77" s="46">
        <f t="shared" si="44"/>
        <v>0</v>
      </c>
    </row>
    <row r="78" ht="14.25" customHeight="1">
      <c r="B78" s="77"/>
      <c r="C78" s="77" t="s">
        <v>183</v>
      </c>
      <c r="D78" s="77"/>
      <c r="E78" s="77"/>
      <c r="F78" s="77"/>
      <c r="G78" s="77"/>
      <c r="H78" s="77"/>
      <c r="I78" s="159">
        <v>2.0</v>
      </c>
      <c r="J78" s="136" t="s">
        <v>66</v>
      </c>
      <c r="K78" s="42">
        <v>0.0</v>
      </c>
      <c r="L78" s="42">
        <v>1.0</v>
      </c>
      <c r="M78" s="42">
        <v>1.0</v>
      </c>
      <c r="N78" s="42">
        <v>2.0</v>
      </c>
      <c r="O78" s="42">
        <v>0.0</v>
      </c>
      <c r="P78" s="42">
        <v>1.0</v>
      </c>
      <c r="Q78" s="253">
        <v>1.0</v>
      </c>
      <c r="R78" s="42"/>
      <c r="S78" s="46">
        <f t="shared" ref="S78:U78" si="45">IF(K78=0,0,IF((O78/K78*100)&gt;120,120,O78/K78*100))</f>
        <v>0</v>
      </c>
      <c r="T78" s="46">
        <f t="shared" si="45"/>
        <v>100</v>
      </c>
      <c r="U78" s="46">
        <f t="shared" si="45"/>
        <v>100</v>
      </c>
      <c r="V78" s="46">
        <f t="shared" ref="V78:Y78" si="46">IF($N78=0,0,IF((O78/$N78*100)&gt;120,120,O78/$N78*100))</f>
        <v>0</v>
      </c>
      <c r="W78" s="46">
        <f t="shared" si="46"/>
        <v>50</v>
      </c>
      <c r="X78" s="46">
        <f t="shared" si="46"/>
        <v>50</v>
      </c>
      <c r="Y78" s="46">
        <f t="shared" si="46"/>
        <v>0</v>
      </c>
    </row>
    <row r="79" ht="14.25" customHeight="1">
      <c r="B79" s="77" t="s">
        <v>184</v>
      </c>
      <c r="C79" s="77"/>
      <c r="D79" s="77"/>
      <c r="E79" s="77"/>
      <c r="F79" s="77"/>
      <c r="G79" s="77"/>
      <c r="H79" s="77"/>
      <c r="I79" s="159">
        <v>7.0</v>
      </c>
      <c r="J79" s="133" t="s">
        <v>85</v>
      </c>
      <c r="K79" s="135">
        <f t="shared" ref="K79:Q79" si="47">SUM(K80:K81)</f>
        <v>0</v>
      </c>
      <c r="L79" s="135">
        <f t="shared" si="47"/>
        <v>4</v>
      </c>
      <c r="M79" s="135">
        <f t="shared" si="47"/>
        <v>4</v>
      </c>
      <c r="N79" s="250">
        <f t="shared" si="47"/>
        <v>7</v>
      </c>
      <c r="O79" s="135">
        <f t="shared" si="47"/>
        <v>0</v>
      </c>
      <c r="P79" s="135">
        <f t="shared" si="47"/>
        <v>4</v>
      </c>
      <c r="Q79" s="135">
        <f t="shared" si="47"/>
        <v>4</v>
      </c>
      <c r="R79" s="135"/>
      <c r="S79" s="46">
        <f t="shared" ref="S79:U79" si="48">IF(K79=0,0,IF((O79/K79*100)&gt;120,120,O79/K79*100))</f>
        <v>0</v>
      </c>
      <c r="T79" s="46">
        <f t="shared" si="48"/>
        <v>100</v>
      </c>
      <c r="U79" s="46">
        <f t="shared" si="48"/>
        <v>100</v>
      </c>
      <c r="V79" s="46">
        <f t="shared" ref="V79:Y79" si="49">IF($N79=0,0,IF((O79/$N79*100)&gt;120,120,O79/$N79*100))</f>
        <v>0</v>
      </c>
      <c r="W79" s="46">
        <f t="shared" si="49"/>
        <v>57.14285714</v>
      </c>
      <c r="X79" s="46">
        <f t="shared" si="49"/>
        <v>57.14285714</v>
      </c>
      <c r="Y79" s="46">
        <f t="shared" si="49"/>
        <v>0</v>
      </c>
    </row>
    <row r="80" ht="14.25" customHeight="1">
      <c r="B80" s="77"/>
      <c r="C80" s="77" t="s">
        <v>185</v>
      </c>
      <c r="D80" s="77"/>
      <c r="E80" s="77"/>
      <c r="F80" s="77"/>
      <c r="G80" s="77"/>
      <c r="H80" s="77"/>
      <c r="I80" s="159">
        <v>5.0</v>
      </c>
      <c r="J80" s="136" t="s">
        <v>87</v>
      </c>
      <c r="K80" s="42">
        <v>0.0</v>
      </c>
      <c r="L80" s="42">
        <v>3.0</v>
      </c>
      <c r="M80" s="42">
        <v>3.0</v>
      </c>
      <c r="N80" s="42">
        <v>5.0</v>
      </c>
      <c r="O80" s="42">
        <v>0.0</v>
      </c>
      <c r="P80" s="42">
        <v>3.0</v>
      </c>
      <c r="Q80" s="252">
        <v>3.0</v>
      </c>
      <c r="R80" s="42"/>
      <c r="S80" s="46">
        <f t="shared" ref="S80:U80" si="50">IF(K80=0,0,IF((O80/K80*100)&gt;120,120,O80/K80*100))</f>
        <v>0</v>
      </c>
      <c r="T80" s="46">
        <f t="shared" si="50"/>
        <v>100</v>
      </c>
      <c r="U80" s="46">
        <f t="shared" si="50"/>
        <v>100</v>
      </c>
      <c r="V80" s="46">
        <f t="shared" ref="V80:Y80" si="51">IF($N80=0,0,IF((O80/$N80*100)&gt;120,120,O80/$N80*100))</f>
        <v>0</v>
      </c>
      <c r="W80" s="46">
        <f t="shared" si="51"/>
        <v>60</v>
      </c>
      <c r="X80" s="46">
        <f t="shared" si="51"/>
        <v>60</v>
      </c>
      <c r="Y80" s="46">
        <f t="shared" si="51"/>
        <v>0</v>
      </c>
    </row>
    <row r="81" ht="14.25" customHeight="1">
      <c r="B81" s="77"/>
      <c r="C81" s="77" t="s">
        <v>186</v>
      </c>
      <c r="D81" s="77"/>
      <c r="E81" s="77"/>
      <c r="F81" s="77"/>
      <c r="G81" s="77"/>
      <c r="H81" s="77"/>
      <c r="I81" s="159">
        <v>2.0</v>
      </c>
      <c r="J81" s="136" t="s">
        <v>66</v>
      </c>
      <c r="K81" s="42">
        <v>0.0</v>
      </c>
      <c r="L81" s="42">
        <v>1.0</v>
      </c>
      <c r="M81" s="42">
        <v>1.0</v>
      </c>
      <c r="N81" s="42">
        <v>2.0</v>
      </c>
      <c r="O81" s="42">
        <v>0.0</v>
      </c>
      <c r="P81" s="42">
        <v>1.0</v>
      </c>
      <c r="Q81" s="253">
        <v>1.0</v>
      </c>
      <c r="R81" s="42"/>
      <c r="S81" s="46">
        <f t="shared" ref="S81:U81" si="52">IF(K81=0,0,IF((O81/K81*100)&gt;120,120,O81/K81*100))</f>
        <v>0</v>
      </c>
      <c r="T81" s="46">
        <f t="shared" si="52"/>
        <v>100</v>
      </c>
      <c r="U81" s="46">
        <f t="shared" si="52"/>
        <v>100</v>
      </c>
      <c r="V81" s="46">
        <f t="shared" ref="V81:Y81" si="53">IF($N81=0,0,IF((O81/$N81*100)&gt;120,120,O81/$N81*100))</f>
        <v>0</v>
      </c>
      <c r="W81" s="46">
        <f t="shared" si="53"/>
        <v>50</v>
      </c>
      <c r="X81" s="46">
        <f t="shared" si="53"/>
        <v>50</v>
      </c>
      <c r="Y81" s="46">
        <f t="shared" si="53"/>
        <v>0</v>
      </c>
    </row>
    <row r="82" ht="14.25" customHeight="1">
      <c r="B82" s="77" t="s">
        <v>92</v>
      </c>
      <c r="C82" s="77"/>
      <c r="D82" s="77"/>
      <c r="E82" s="77"/>
      <c r="F82" s="77"/>
      <c r="G82" s="77"/>
      <c r="H82" s="77"/>
      <c r="I82" s="159">
        <v>2.0</v>
      </c>
      <c r="J82" s="133" t="s">
        <v>85</v>
      </c>
      <c r="K82" s="42">
        <v>0.0</v>
      </c>
      <c r="L82" s="42">
        <v>1.0</v>
      </c>
      <c r="M82" s="42">
        <v>1.0</v>
      </c>
      <c r="N82" s="42">
        <v>2.0</v>
      </c>
      <c r="O82" s="42">
        <v>0.0</v>
      </c>
      <c r="P82" s="42">
        <v>1.0</v>
      </c>
      <c r="Q82" s="253">
        <v>1.0</v>
      </c>
      <c r="R82" s="42"/>
      <c r="S82" s="46">
        <f t="shared" ref="S82:U82" si="54">IF(K82=0,0,IF((O82/K82*100)&gt;120,120,O82/K82*100))</f>
        <v>0</v>
      </c>
      <c r="T82" s="46">
        <f t="shared" si="54"/>
        <v>100</v>
      </c>
      <c r="U82" s="46">
        <f t="shared" si="54"/>
        <v>100</v>
      </c>
      <c r="V82" s="46">
        <f t="shared" ref="V82:Y82" si="55">IF($N82=0,0,IF((O82/$N82*100)&gt;120,120,O82/$N82*100))</f>
        <v>0</v>
      </c>
      <c r="W82" s="46">
        <f t="shared" si="55"/>
        <v>50</v>
      </c>
      <c r="X82" s="46">
        <f t="shared" si="55"/>
        <v>50</v>
      </c>
      <c r="Y82" s="46">
        <f t="shared" si="55"/>
        <v>0</v>
      </c>
    </row>
    <row r="83" ht="14.25" customHeight="1">
      <c r="B83" s="77" t="s">
        <v>187</v>
      </c>
      <c r="C83" s="77"/>
      <c r="D83" s="77"/>
      <c r="E83" s="77"/>
      <c r="F83" s="77"/>
      <c r="G83" s="77"/>
      <c r="H83" s="77"/>
      <c r="I83" s="159">
        <v>5.0</v>
      </c>
      <c r="J83" s="133" t="s">
        <v>87</v>
      </c>
      <c r="K83" s="42">
        <v>0.0</v>
      </c>
      <c r="L83" s="42">
        <v>4.0</v>
      </c>
      <c r="M83" s="42">
        <v>4.0</v>
      </c>
      <c r="N83" s="42">
        <v>7.0</v>
      </c>
      <c r="O83" s="42">
        <v>0.0</v>
      </c>
      <c r="P83" s="42">
        <v>5.0</v>
      </c>
      <c r="Q83" s="252">
        <v>5.0</v>
      </c>
      <c r="R83" s="42"/>
      <c r="S83" s="46">
        <f t="shared" ref="S83:U83" si="56">IF(K83=0,0,IF((O83/K83*100)&gt;120,120,O83/K83*100))</f>
        <v>0</v>
      </c>
      <c r="T83" s="46">
        <f t="shared" si="56"/>
        <v>120</v>
      </c>
      <c r="U83" s="46">
        <f t="shared" si="56"/>
        <v>120</v>
      </c>
      <c r="V83" s="46">
        <f t="shared" ref="V83:Y83" si="57">IF($N83=0,0,IF((O83/$N83*100)&gt;120,120,O83/$N83*100))</f>
        <v>0</v>
      </c>
      <c r="W83" s="46">
        <f t="shared" si="57"/>
        <v>71.42857143</v>
      </c>
      <c r="X83" s="46">
        <f t="shared" si="57"/>
        <v>71.42857143</v>
      </c>
      <c r="Y83" s="46">
        <f t="shared" si="57"/>
        <v>0</v>
      </c>
    </row>
    <row r="84" ht="14.25" customHeight="1">
      <c r="B84" s="77" t="s">
        <v>188</v>
      </c>
      <c r="C84" s="77"/>
      <c r="D84" s="77"/>
      <c r="E84" s="77"/>
      <c r="F84" s="77"/>
      <c r="G84" s="77"/>
      <c r="H84" s="77"/>
      <c r="I84" s="159">
        <v>2.0</v>
      </c>
      <c r="J84" s="133" t="s">
        <v>95</v>
      </c>
      <c r="K84" s="42">
        <v>0.0</v>
      </c>
      <c r="L84" s="42">
        <v>1.0</v>
      </c>
      <c r="M84" s="42">
        <v>1.0</v>
      </c>
      <c r="N84" s="42">
        <v>2.0</v>
      </c>
      <c r="O84" s="42">
        <v>0.0</v>
      </c>
      <c r="P84" s="42">
        <v>1.0</v>
      </c>
      <c r="Q84" s="253">
        <v>1.0</v>
      </c>
      <c r="R84" s="42"/>
      <c r="S84" s="46">
        <f t="shared" ref="S84:U84" si="58">IF(K84=0,0,IF((O84/K84*100)&gt;120,120,O84/K84*100))</f>
        <v>0</v>
      </c>
      <c r="T84" s="46">
        <f t="shared" si="58"/>
        <v>100</v>
      </c>
      <c r="U84" s="46">
        <f t="shared" si="58"/>
        <v>100</v>
      </c>
      <c r="V84" s="46">
        <f t="shared" ref="V84:Y84" si="59">IF($N84=0,0,IF((O84/$N84*100)&gt;120,120,O84/$N84*100))</f>
        <v>0</v>
      </c>
      <c r="W84" s="46">
        <f t="shared" si="59"/>
        <v>50</v>
      </c>
      <c r="X84" s="46">
        <f t="shared" si="59"/>
        <v>50</v>
      </c>
      <c r="Y84" s="46">
        <f t="shared" si="59"/>
        <v>0</v>
      </c>
    </row>
    <row r="85" ht="14.25" customHeight="1">
      <c r="B85" s="77" t="s">
        <v>189</v>
      </c>
      <c r="C85" s="77"/>
      <c r="D85" s="77"/>
      <c r="E85" s="77"/>
      <c r="F85" s="77"/>
      <c r="G85" s="77"/>
      <c r="H85" s="77"/>
      <c r="I85" s="159">
        <v>100.0</v>
      </c>
      <c r="J85" s="133" t="s">
        <v>35</v>
      </c>
      <c r="K85" s="254">
        <f t="shared" ref="K85:Q85" si="60">IF($I86=0,0,AVERAGE(IF($I86&gt;0,K86/$I86*100,0)))</f>
        <v>1.726052286</v>
      </c>
      <c r="L85" s="254">
        <f t="shared" si="60"/>
        <v>88.39541065</v>
      </c>
      <c r="M85" s="254">
        <f t="shared" si="60"/>
        <v>95.29737671</v>
      </c>
      <c r="N85" s="254">
        <f t="shared" si="60"/>
        <v>95.29737671</v>
      </c>
      <c r="O85" s="254">
        <f t="shared" si="60"/>
        <v>1.741753867</v>
      </c>
      <c r="P85" s="254">
        <f t="shared" si="60"/>
        <v>92.53726321</v>
      </c>
      <c r="Q85" s="254">
        <f t="shared" si="60"/>
        <v>99.49642789</v>
      </c>
      <c r="R85" s="254"/>
      <c r="S85" s="46">
        <f t="shared" ref="S85:U85" si="61">IF(K85=0,0,IF((O85/K85*100)&gt;120,120,O85/K85*100))</f>
        <v>100.9096816</v>
      </c>
      <c r="T85" s="46">
        <f t="shared" si="61"/>
        <v>104.6855968</v>
      </c>
      <c r="U85" s="46">
        <f t="shared" si="61"/>
        <v>104.406261</v>
      </c>
      <c r="V85" s="46">
        <f t="shared" ref="V85:Y85" si="62">IF($N85=0,0,IF((O85/$N85*100)&gt;120,120,O85/$N85*100))</f>
        <v>1.827703895</v>
      </c>
      <c r="W85" s="46">
        <f t="shared" si="62"/>
        <v>97.10368365</v>
      </c>
      <c r="X85" s="46">
        <f t="shared" si="62"/>
        <v>104.406261</v>
      </c>
      <c r="Y85" s="46">
        <f t="shared" si="62"/>
        <v>0</v>
      </c>
    </row>
    <row r="86" ht="14.25" customHeight="1">
      <c r="B86" s="77"/>
      <c r="C86" s="77" t="s">
        <v>190</v>
      </c>
      <c r="D86" s="77"/>
      <c r="E86" s="77"/>
      <c r="F86" s="77"/>
      <c r="G86" s="77"/>
      <c r="H86" s="77"/>
      <c r="I86" s="42">
        <f>SUM(I87:I90)</f>
        <v>89163</v>
      </c>
      <c r="J86" s="136" t="s">
        <v>98</v>
      </c>
      <c r="K86" s="42">
        <f t="shared" ref="K86:Q86" si="63">SUM(K87:K90)</f>
        <v>1539</v>
      </c>
      <c r="L86" s="42">
        <f t="shared" si="63"/>
        <v>78816</v>
      </c>
      <c r="M86" s="42">
        <f t="shared" si="63"/>
        <v>84970</v>
      </c>
      <c r="N86" s="42">
        <f t="shared" si="63"/>
        <v>84970</v>
      </c>
      <c r="O86" s="42">
        <f t="shared" si="63"/>
        <v>1553</v>
      </c>
      <c r="P86" s="42">
        <f t="shared" si="63"/>
        <v>82509</v>
      </c>
      <c r="Q86" s="42">
        <f t="shared" si="63"/>
        <v>88714</v>
      </c>
      <c r="R86" s="42"/>
      <c r="S86" s="111"/>
      <c r="T86" s="111"/>
      <c r="U86" s="111"/>
      <c r="V86" s="111"/>
      <c r="W86" s="111"/>
      <c r="X86" s="111"/>
      <c r="Y86" s="111"/>
    </row>
    <row r="87" ht="14.25" customHeight="1">
      <c r="B87" s="77"/>
      <c r="C87" s="77"/>
      <c r="D87" s="77" t="s">
        <v>191</v>
      </c>
      <c r="E87" s="77"/>
      <c r="F87" s="77"/>
      <c r="G87" s="77"/>
      <c r="H87" s="77"/>
      <c r="I87" s="42">
        <v>1539.0</v>
      </c>
      <c r="J87" s="136" t="s">
        <v>98</v>
      </c>
      <c r="K87" s="42">
        <v>1539.0</v>
      </c>
      <c r="L87" s="42">
        <v>1539.0</v>
      </c>
      <c r="M87" s="42">
        <v>1539.0</v>
      </c>
      <c r="N87" s="42">
        <v>1539.0</v>
      </c>
      <c r="O87" s="42">
        <v>1553.0</v>
      </c>
      <c r="P87" s="42">
        <v>1553.0</v>
      </c>
      <c r="Q87" s="42">
        <v>1553.0</v>
      </c>
      <c r="R87" s="42"/>
      <c r="S87" s="111"/>
      <c r="T87" s="111"/>
      <c r="U87" s="111"/>
      <c r="V87" s="111"/>
      <c r="W87" s="111"/>
      <c r="X87" s="111"/>
      <c r="Y87" s="111"/>
    </row>
    <row r="88" ht="14.25" customHeight="1">
      <c r="B88" s="77"/>
      <c r="C88" s="77"/>
      <c r="D88" s="77" t="s">
        <v>192</v>
      </c>
      <c r="E88" s="77"/>
      <c r="F88" s="77"/>
      <c r="G88" s="77"/>
      <c r="H88" s="77"/>
      <c r="I88" s="42">
        <v>6280.0</v>
      </c>
      <c r="J88" s="136" t="s">
        <v>98</v>
      </c>
      <c r="K88" s="42">
        <v>0.0</v>
      </c>
      <c r="L88" s="42">
        <v>0.0</v>
      </c>
      <c r="M88" s="42">
        <v>6154.0</v>
      </c>
      <c r="N88" s="42">
        <v>6154.0</v>
      </c>
      <c r="O88" s="42">
        <v>0.0</v>
      </c>
      <c r="P88" s="42">
        <v>0.0</v>
      </c>
      <c r="Q88" s="253">
        <v>6205.0</v>
      </c>
      <c r="R88" s="42"/>
      <c r="S88" s="111"/>
      <c r="T88" s="111"/>
      <c r="U88" s="111"/>
      <c r="V88" s="111"/>
      <c r="W88" s="111"/>
      <c r="X88" s="111"/>
      <c r="Y88" s="111"/>
    </row>
    <row r="89" ht="14.25" customHeight="1">
      <c r="B89" s="77"/>
      <c r="C89" s="77"/>
      <c r="D89" s="77" t="s">
        <v>193</v>
      </c>
      <c r="E89" s="77"/>
      <c r="F89" s="77"/>
      <c r="G89" s="77"/>
      <c r="H89" s="77"/>
      <c r="I89" s="42">
        <v>0.0</v>
      </c>
      <c r="J89" s="136" t="s">
        <v>98</v>
      </c>
      <c r="K89" s="42">
        <v>0.0</v>
      </c>
      <c r="L89" s="42">
        <v>0.0</v>
      </c>
      <c r="M89" s="42">
        <v>0.0</v>
      </c>
      <c r="N89" s="42">
        <v>0.0</v>
      </c>
      <c r="O89" s="42">
        <v>0.0</v>
      </c>
      <c r="P89" s="42">
        <v>0.0</v>
      </c>
      <c r="Q89" s="253">
        <v>0.0</v>
      </c>
      <c r="R89" s="42"/>
      <c r="S89" s="111"/>
      <c r="T89" s="111"/>
      <c r="U89" s="111"/>
      <c r="V89" s="111"/>
      <c r="W89" s="111"/>
      <c r="X89" s="111"/>
      <c r="Y89" s="111"/>
    </row>
    <row r="90" ht="14.25" customHeight="1">
      <c r="B90" s="77"/>
      <c r="C90" s="77"/>
      <c r="D90" s="255" t="s">
        <v>194</v>
      </c>
      <c r="E90" s="256"/>
      <c r="F90" s="256"/>
      <c r="G90" s="256"/>
      <c r="H90" s="256"/>
      <c r="I90" s="42">
        <v>81344.0</v>
      </c>
      <c r="J90" s="136" t="s">
        <v>98</v>
      </c>
      <c r="K90" s="42">
        <v>0.0</v>
      </c>
      <c r="L90" s="42">
        <v>77277.0</v>
      </c>
      <c r="M90" s="42">
        <v>77277.0</v>
      </c>
      <c r="N90" s="42">
        <v>77277.0</v>
      </c>
      <c r="O90" s="42">
        <v>0.0</v>
      </c>
      <c r="P90" s="42">
        <v>80956.0</v>
      </c>
      <c r="Q90" s="42">
        <v>80956.0</v>
      </c>
      <c r="R90" s="42"/>
      <c r="S90" s="111"/>
      <c r="T90" s="111"/>
      <c r="U90" s="111"/>
      <c r="V90" s="111"/>
      <c r="W90" s="111"/>
      <c r="X90" s="111"/>
      <c r="Y90" s="111"/>
    </row>
    <row r="91" ht="14.25" customHeight="1">
      <c r="B91" s="77" t="s">
        <v>195</v>
      </c>
      <c r="C91" s="77"/>
      <c r="D91" s="77"/>
      <c r="E91" s="77"/>
      <c r="F91" s="77"/>
      <c r="G91" s="77"/>
      <c r="H91" s="77"/>
      <c r="I91" s="159">
        <v>100.0</v>
      </c>
      <c r="J91" s="133" t="s">
        <v>35</v>
      </c>
      <c r="K91" s="208">
        <f>K86/I86*100</f>
        <v>1.726052286</v>
      </c>
      <c r="L91" s="208">
        <f>L86/I86*100</f>
        <v>88.39541065</v>
      </c>
      <c r="M91" s="208">
        <f>M86/I86*100</f>
        <v>95.29737671</v>
      </c>
      <c r="N91" s="257">
        <v>100.0</v>
      </c>
      <c r="O91" s="258">
        <f>O86/I86*100</f>
        <v>1.741753867</v>
      </c>
      <c r="P91" s="258">
        <f>P86/I86*100</f>
        <v>92.53726321</v>
      </c>
      <c r="Q91" s="259">
        <v>100.0</v>
      </c>
      <c r="R91" s="42"/>
      <c r="S91" s="46">
        <f t="shared" ref="S91:U91" si="64">IF(K91=0,0,IF((O91/K91*100)&gt;120,120,O91/K91*100))</f>
        <v>100.9096816</v>
      </c>
      <c r="T91" s="46">
        <f t="shared" si="64"/>
        <v>104.6855968</v>
      </c>
      <c r="U91" s="46">
        <f t="shared" si="64"/>
        <v>104.9346828</v>
      </c>
      <c r="V91" s="46">
        <f t="shared" ref="V91:Y91" si="65">IF($N91=0,0,IF((O91/$N91*100)&gt;120,120,O91/$N91*100))</f>
        <v>1.741753867</v>
      </c>
      <c r="W91" s="46">
        <f t="shared" si="65"/>
        <v>92.53726321</v>
      </c>
      <c r="X91" s="46">
        <f t="shared" si="65"/>
        <v>100</v>
      </c>
      <c r="Y91" s="46">
        <f t="shared" si="65"/>
        <v>0</v>
      </c>
    </row>
    <row r="92" ht="14.25" customHeight="1">
      <c r="B92" s="39"/>
      <c r="C92" s="39"/>
      <c r="D92" s="39"/>
      <c r="E92" s="39"/>
      <c r="F92" s="39"/>
      <c r="G92" s="39"/>
      <c r="H92" s="39"/>
      <c r="I92" s="39"/>
      <c r="J92" s="39"/>
      <c r="K92" s="39"/>
      <c r="L92" s="39"/>
      <c r="M92" s="39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</row>
    <row r="93" ht="14.25" customHeight="1">
      <c r="B93" s="260"/>
      <c r="C93" s="261"/>
      <c r="D93" s="262"/>
      <c r="E93" s="262"/>
      <c r="F93" s="262"/>
      <c r="G93" s="263" t="s">
        <v>196</v>
      </c>
      <c r="H93" s="262"/>
      <c r="I93" s="262"/>
      <c r="J93" s="262"/>
      <c r="K93" s="264"/>
      <c r="L93" s="264"/>
      <c r="M93" s="264"/>
      <c r="N93" s="264"/>
      <c r="O93" s="264"/>
      <c r="P93" s="264"/>
      <c r="Q93" s="264"/>
      <c r="R93" s="264"/>
      <c r="S93" s="265">
        <f t="shared" ref="S93:U93" si="66">IF(SUM(K75:K85,K91)&gt;0,SUM(S75:S85,S91)/SUM(COUNTIF(K75:K85,"&gt;0"),COUNTIF(K91,"&gt;0")),0)</f>
        <v>100.9096816</v>
      </c>
      <c r="T93" s="265">
        <f t="shared" si="66"/>
        <v>102.6701085</v>
      </c>
      <c r="U93" s="265">
        <f t="shared" si="66"/>
        <v>102.6673585</v>
      </c>
      <c r="V93" s="265">
        <f>SUM(V76:V91)/2</f>
        <v>1.784728881</v>
      </c>
      <c r="W93" s="265">
        <f t="shared" ref="W93:Y93" si="67">SUM(W75:W91)/11</f>
        <v>63.21411205</v>
      </c>
      <c r="X93" s="265">
        <f t="shared" si="67"/>
        <v>64.55641334</v>
      </c>
      <c r="Y93" s="265">
        <f t="shared" si="67"/>
        <v>0</v>
      </c>
    </row>
    <row r="94" ht="14.25" customHeight="1"/>
    <row r="95" ht="14.25" customHeight="1"/>
    <row r="96" ht="14.25" customHeight="1">
      <c r="B96" s="4" t="s">
        <v>197</v>
      </c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6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</row>
    <row r="97" ht="15.75" customHeight="1">
      <c r="B97" s="118" t="s">
        <v>2</v>
      </c>
      <c r="C97" s="8"/>
      <c r="D97" s="8"/>
      <c r="E97" s="8"/>
      <c r="F97" s="8"/>
      <c r="G97" s="8"/>
      <c r="H97" s="8"/>
      <c r="I97" s="120" t="s">
        <v>198</v>
      </c>
      <c r="J97" s="121" t="s">
        <v>3</v>
      </c>
      <c r="K97" s="11"/>
      <c r="L97" s="11"/>
      <c r="M97" s="11"/>
      <c r="N97" s="11"/>
      <c r="O97" s="11"/>
      <c r="P97" s="11"/>
      <c r="Q97" s="11"/>
      <c r="R97" s="12"/>
      <c r="S97" s="121" t="s">
        <v>4</v>
      </c>
      <c r="T97" s="11"/>
      <c r="U97" s="11"/>
      <c r="V97" s="11"/>
      <c r="W97" s="11"/>
      <c r="X97" s="11"/>
      <c r="Y97" s="12"/>
    </row>
    <row r="98" ht="14.25" customHeight="1">
      <c r="B98" s="13"/>
      <c r="I98" s="123"/>
      <c r="J98" s="124" t="s">
        <v>5</v>
      </c>
      <c r="K98" s="125" t="s">
        <v>62</v>
      </c>
      <c r="L98" s="17"/>
      <c r="M98" s="17"/>
      <c r="N98" s="18"/>
      <c r="O98" s="125" t="s">
        <v>63</v>
      </c>
      <c r="P98" s="17"/>
      <c r="Q98" s="17"/>
      <c r="R98" s="18"/>
      <c r="S98" s="125" t="s">
        <v>64</v>
      </c>
      <c r="T98" s="17"/>
      <c r="U98" s="18"/>
      <c r="V98" s="125" t="s">
        <v>9</v>
      </c>
      <c r="W98" s="17"/>
      <c r="X98" s="17"/>
      <c r="Y98" s="18"/>
    </row>
    <row r="99" ht="14.25" customHeight="1">
      <c r="B99" s="19"/>
      <c r="C99" s="20"/>
      <c r="D99" s="20"/>
      <c r="E99" s="20"/>
      <c r="F99" s="20"/>
      <c r="G99" s="20"/>
      <c r="H99" s="20"/>
      <c r="I99" s="22"/>
      <c r="J99" s="22"/>
      <c r="K99" s="127" t="s">
        <v>10</v>
      </c>
      <c r="L99" s="127" t="s">
        <v>11</v>
      </c>
      <c r="M99" s="127" t="s">
        <v>12</v>
      </c>
      <c r="N99" s="127" t="s">
        <v>13</v>
      </c>
      <c r="O99" s="127" t="s">
        <v>10</v>
      </c>
      <c r="P99" s="127" t="s">
        <v>11</v>
      </c>
      <c r="Q99" s="127" t="s">
        <v>12</v>
      </c>
      <c r="R99" s="127" t="s">
        <v>13</v>
      </c>
      <c r="S99" s="127" t="s">
        <v>10</v>
      </c>
      <c r="T99" s="127" t="s">
        <v>11</v>
      </c>
      <c r="U99" s="127" t="s">
        <v>12</v>
      </c>
      <c r="V99" s="127" t="s">
        <v>10</v>
      </c>
      <c r="W99" s="127" t="s">
        <v>11</v>
      </c>
      <c r="X99" s="127" t="s">
        <v>12</v>
      </c>
      <c r="Y99" s="127" t="s">
        <v>13</v>
      </c>
    </row>
    <row r="100" ht="14.25" customHeight="1">
      <c r="B100" s="129">
        <v>-1.0</v>
      </c>
      <c r="C100" s="27"/>
      <c r="D100" s="27"/>
      <c r="E100" s="27"/>
      <c r="F100" s="27"/>
      <c r="G100" s="27"/>
      <c r="H100" s="27"/>
      <c r="I100" s="248"/>
      <c r="J100" s="131">
        <v>-2.0</v>
      </c>
      <c r="K100" s="131">
        <v>-3.0</v>
      </c>
      <c r="L100" s="131">
        <v>-4.0</v>
      </c>
      <c r="M100" s="131">
        <v>-5.0</v>
      </c>
      <c r="N100" s="131">
        <v>-6.0</v>
      </c>
      <c r="O100" s="131">
        <v>-7.0</v>
      </c>
      <c r="P100" s="131">
        <v>-8.0</v>
      </c>
      <c r="Q100" s="131">
        <v>-9.0</v>
      </c>
      <c r="R100" s="131">
        <v>-10.0</v>
      </c>
      <c r="S100" s="131">
        <v>-11.0</v>
      </c>
      <c r="T100" s="131">
        <v>-12.0</v>
      </c>
      <c r="U100" s="131">
        <v>-13.0</v>
      </c>
      <c r="V100" s="131">
        <v>-14.0</v>
      </c>
      <c r="W100" s="131">
        <v>-15.0</v>
      </c>
      <c r="X100" s="131">
        <v>-16.0</v>
      </c>
      <c r="Y100" s="131">
        <v>-17.0</v>
      </c>
    </row>
    <row r="101" ht="14.25" customHeight="1">
      <c r="B101" s="35"/>
      <c r="C101" s="35"/>
      <c r="D101" s="35"/>
      <c r="E101" s="35"/>
      <c r="F101" s="35"/>
      <c r="G101" s="35"/>
      <c r="H101" s="35"/>
      <c r="I101" s="35"/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</row>
    <row r="102" ht="14.25" customHeight="1">
      <c r="B102" s="77" t="s">
        <v>199</v>
      </c>
      <c r="C102" s="77"/>
      <c r="D102" s="77"/>
      <c r="E102" s="77"/>
      <c r="F102" s="77"/>
      <c r="G102" s="77"/>
      <c r="H102" s="77"/>
      <c r="I102" s="159">
        <v>9.0</v>
      </c>
      <c r="J102" s="133" t="s">
        <v>85</v>
      </c>
      <c r="K102" s="135">
        <f t="shared" ref="K102:Q102" si="68">SUM(K103:K104)</f>
        <v>2</v>
      </c>
      <c r="L102" s="135">
        <f t="shared" si="68"/>
        <v>4</v>
      </c>
      <c r="M102" s="249">
        <f t="shared" si="68"/>
        <v>7</v>
      </c>
      <c r="N102" s="250">
        <f t="shared" si="68"/>
        <v>9</v>
      </c>
      <c r="O102" s="251">
        <f t="shared" si="68"/>
        <v>2</v>
      </c>
      <c r="P102" s="135">
        <f t="shared" si="68"/>
        <v>4</v>
      </c>
      <c r="Q102" s="135">
        <f t="shared" si="68"/>
        <v>7</v>
      </c>
      <c r="R102" s="135"/>
      <c r="S102" s="46">
        <f t="shared" ref="S102:U102" si="69">IF(K102=0,0,IF((O102/K102*100)&gt;120,120,O102/K102*100))</f>
        <v>100</v>
      </c>
      <c r="T102" s="46">
        <f t="shared" si="69"/>
        <v>100</v>
      </c>
      <c r="U102" s="46">
        <f t="shared" si="69"/>
        <v>100</v>
      </c>
      <c r="V102" s="46">
        <f t="shared" ref="V102:Y102" si="70">IF($N102=0,0,IF((O102/$N102*100)&gt;120,120,O102/$N102*100))</f>
        <v>22.22222222</v>
      </c>
      <c r="W102" s="46">
        <f t="shared" si="70"/>
        <v>44.44444444</v>
      </c>
      <c r="X102" s="46">
        <f t="shared" si="70"/>
        <v>77.77777778</v>
      </c>
      <c r="Y102" s="46">
        <f t="shared" si="70"/>
        <v>0</v>
      </c>
    </row>
    <row r="103" ht="14.25" customHeight="1">
      <c r="B103" s="77"/>
      <c r="C103" s="77" t="s">
        <v>200</v>
      </c>
      <c r="D103" s="77"/>
      <c r="E103" s="77"/>
      <c r="F103" s="77"/>
      <c r="G103" s="77"/>
      <c r="H103" s="77"/>
      <c r="I103" s="159">
        <v>7.0</v>
      </c>
      <c r="J103" s="136" t="s">
        <v>87</v>
      </c>
      <c r="K103" s="42">
        <v>2.0</v>
      </c>
      <c r="L103" s="42">
        <v>3.0</v>
      </c>
      <c r="M103" s="42">
        <v>6.0</v>
      </c>
      <c r="N103" s="42">
        <v>7.0</v>
      </c>
      <c r="O103" s="42">
        <v>2.0</v>
      </c>
      <c r="P103" s="42">
        <v>3.0</v>
      </c>
      <c r="Q103" s="253">
        <v>6.0</v>
      </c>
      <c r="R103" s="42"/>
      <c r="S103" s="46">
        <f t="shared" ref="S103:U103" si="71">IF(K103=0,0,IF((O103/K103*100)&gt;120,120,O103/K103*100))</f>
        <v>100</v>
      </c>
      <c r="T103" s="46">
        <f t="shared" si="71"/>
        <v>100</v>
      </c>
      <c r="U103" s="46">
        <f t="shared" si="71"/>
        <v>100</v>
      </c>
      <c r="V103" s="46">
        <f t="shared" ref="V103:Y103" si="72">IF($N103=0,0,IF((O103/$N103*100)&gt;120,120,O103/$N103*100))</f>
        <v>28.57142857</v>
      </c>
      <c r="W103" s="46">
        <f t="shared" si="72"/>
        <v>42.85714286</v>
      </c>
      <c r="X103" s="46">
        <f t="shared" si="72"/>
        <v>85.71428571</v>
      </c>
      <c r="Y103" s="46">
        <f t="shared" si="72"/>
        <v>0</v>
      </c>
    </row>
    <row r="104" ht="14.25" customHeight="1">
      <c r="B104" s="77"/>
      <c r="C104" s="77" t="s">
        <v>201</v>
      </c>
      <c r="D104" s="77"/>
      <c r="E104" s="77"/>
      <c r="F104" s="77"/>
      <c r="G104" s="77"/>
      <c r="H104" s="77"/>
      <c r="I104" s="159">
        <v>2.0</v>
      </c>
      <c r="J104" s="136" t="s">
        <v>66</v>
      </c>
      <c r="K104" s="42">
        <v>0.0</v>
      </c>
      <c r="L104" s="42">
        <v>1.0</v>
      </c>
      <c r="M104" s="42">
        <v>1.0</v>
      </c>
      <c r="N104" s="42">
        <v>2.0</v>
      </c>
      <c r="O104" s="42">
        <v>0.0</v>
      </c>
      <c r="P104" s="42">
        <v>1.0</v>
      </c>
      <c r="Q104" s="253">
        <v>1.0</v>
      </c>
      <c r="R104" s="42"/>
      <c r="S104" s="46">
        <f t="shared" ref="S104:U104" si="73">IF(K104=0,0,IF((O104/K104*100)&gt;120,120,O104/K104*100))</f>
        <v>0</v>
      </c>
      <c r="T104" s="46">
        <f t="shared" si="73"/>
        <v>100</v>
      </c>
      <c r="U104" s="46">
        <f t="shared" si="73"/>
        <v>100</v>
      </c>
      <c r="V104" s="46">
        <f t="shared" ref="V104:Y104" si="74">IF($N104=0,0,IF((O104/$N104*100)&gt;120,120,O104/$N104*100))</f>
        <v>0</v>
      </c>
      <c r="W104" s="46">
        <f t="shared" si="74"/>
        <v>50</v>
      </c>
      <c r="X104" s="46">
        <f t="shared" si="74"/>
        <v>50</v>
      </c>
      <c r="Y104" s="46">
        <f t="shared" si="74"/>
        <v>0</v>
      </c>
    </row>
    <row r="105" ht="14.25" customHeight="1">
      <c r="B105" s="77" t="s">
        <v>202</v>
      </c>
      <c r="C105" s="77"/>
      <c r="D105" s="77"/>
      <c r="E105" s="77"/>
      <c r="F105" s="77"/>
      <c r="G105" s="77"/>
      <c r="H105" s="77"/>
      <c r="I105" s="159">
        <v>9.0</v>
      </c>
      <c r="J105" s="133" t="s">
        <v>85</v>
      </c>
      <c r="K105" s="135">
        <f t="shared" ref="K105:O105" si="75">SUM(K106:K107)</f>
        <v>2</v>
      </c>
      <c r="L105" s="135">
        <f t="shared" si="75"/>
        <v>4</v>
      </c>
      <c r="M105" s="135">
        <f t="shared" si="75"/>
        <v>7</v>
      </c>
      <c r="N105" s="250">
        <f t="shared" si="75"/>
        <v>9</v>
      </c>
      <c r="O105" s="135">
        <f t="shared" si="75"/>
        <v>2</v>
      </c>
      <c r="P105" s="135">
        <v>4.0</v>
      </c>
      <c r="Q105" s="135">
        <f>sum(Q106:Q107)</f>
        <v>7</v>
      </c>
      <c r="R105" s="135"/>
      <c r="S105" s="46">
        <f t="shared" ref="S105:U105" si="76">IF(K105=0,0,IF((O105/K105*100)&gt;120,120,O105/K105*100))</f>
        <v>100</v>
      </c>
      <c r="T105" s="46">
        <f t="shared" si="76"/>
        <v>100</v>
      </c>
      <c r="U105" s="46">
        <f t="shared" si="76"/>
        <v>100</v>
      </c>
      <c r="V105" s="46">
        <f t="shared" ref="V105:Y105" si="77">IF($N105=0,0,IF((O105/$N105*100)&gt;120,120,O105/$N105*100))</f>
        <v>22.22222222</v>
      </c>
      <c r="W105" s="46">
        <f t="shared" si="77"/>
        <v>44.44444444</v>
      </c>
      <c r="X105" s="46">
        <f t="shared" si="77"/>
        <v>77.77777778</v>
      </c>
      <c r="Y105" s="46">
        <f t="shared" si="77"/>
        <v>0</v>
      </c>
    </row>
    <row r="106" ht="14.25" customHeight="1">
      <c r="B106" s="77"/>
      <c r="C106" s="77" t="s">
        <v>203</v>
      </c>
      <c r="D106" s="77"/>
      <c r="E106" s="77"/>
      <c r="F106" s="77"/>
      <c r="G106" s="77"/>
      <c r="H106" s="77"/>
      <c r="I106" s="159">
        <v>7.0</v>
      </c>
      <c r="J106" s="136" t="s">
        <v>87</v>
      </c>
      <c r="K106" s="42">
        <v>2.0</v>
      </c>
      <c r="L106" s="42">
        <v>3.0</v>
      </c>
      <c r="M106" s="42">
        <v>6.0</v>
      </c>
      <c r="N106" s="42">
        <v>7.0</v>
      </c>
      <c r="O106" s="42">
        <v>2.0</v>
      </c>
      <c r="P106" s="42">
        <v>3.0</v>
      </c>
      <c r="Q106" s="253">
        <v>6.0</v>
      </c>
      <c r="R106" s="42"/>
      <c r="S106" s="46">
        <f t="shared" ref="S106:U106" si="78">IF(K106=0,0,IF((O106/K106*100)&gt;120,120,O106/K106*100))</f>
        <v>100</v>
      </c>
      <c r="T106" s="46">
        <f t="shared" si="78"/>
        <v>100</v>
      </c>
      <c r="U106" s="46">
        <f t="shared" si="78"/>
        <v>100</v>
      </c>
      <c r="V106" s="46">
        <f t="shared" ref="V106:Y106" si="79">IF($N106=0,0,IF((O106/$N106*100)&gt;120,120,O106/$N106*100))</f>
        <v>28.57142857</v>
      </c>
      <c r="W106" s="46">
        <f t="shared" si="79"/>
        <v>42.85714286</v>
      </c>
      <c r="X106" s="46">
        <f t="shared" si="79"/>
        <v>85.71428571</v>
      </c>
      <c r="Y106" s="46">
        <f t="shared" si="79"/>
        <v>0</v>
      </c>
    </row>
    <row r="107" ht="14.25" customHeight="1">
      <c r="B107" s="77"/>
      <c r="C107" s="77" t="s">
        <v>204</v>
      </c>
      <c r="D107" s="77"/>
      <c r="E107" s="77"/>
      <c r="F107" s="77"/>
      <c r="G107" s="77"/>
      <c r="H107" s="77"/>
      <c r="I107" s="159">
        <v>2.0</v>
      </c>
      <c r="J107" s="136" t="s">
        <v>66</v>
      </c>
      <c r="K107" s="42">
        <v>0.0</v>
      </c>
      <c r="L107" s="42">
        <v>1.0</v>
      </c>
      <c r="M107" s="42">
        <v>1.0</v>
      </c>
      <c r="N107" s="42">
        <v>2.0</v>
      </c>
      <c r="O107" s="42">
        <v>0.0</v>
      </c>
      <c r="P107" s="42">
        <v>1.0</v>
      </c>
      <c r="Q107" s="253">
        <v>1.0</v>
      </c>
      <c r="R107" s="42"/>
      <c r="S107" s="46">
        <f t="shared" ref="S107:U107" si="80">IF(K107=0,0,IF((O107/K107*100)&gt;120,120,O107/K107*100))</f>
        <v>0</v>
      </c>
      <c r="T107" s="46">
        <f t="shared" si="80"/>
        <v>100</v>
      </c>
      <c r="U107" s="46">
        <f t="shared" si="80"/>
        <v>100</v>
      </c>
      <c r="V107" s="46">
        <f t="shared" ref="V107:Y107" si="81">IF($N107=0,0,IF((O107/$N107*100)&gt;120,120,O107/$N107*100))</f>
        <v>0</v>
      </c>
      <c r="W107" s="46">
        <f t="shared" si="81"/>
        <v>50</v>
      </c>
      <c r="X107" s="46">
        <f t="shared" si="81"/>
        <v>50</v>
      </c>
      <c r="Y107" s="46">
        <f t="shared" si="81"/>
        <v>0</v>
      </c>
    </row>
    <row r="108" ht="14.25" customHeight="1">
      <c r="B108" s="77" t="s">
        <v>205</v>
      </c>
      <c r="C108" s="77"/>
      <c r="D108" s="77"/>
      <c r="E108" s="77"/>
      <c r="F108" s="77"/>
      <c r="G108" s="77"/>
      <c r="H108" s="77"/>
      <c r="I108" s="159">
        <v>7.0</v>
      </c>
      <c r="J108" s="133" t="s">
        <v>87</v>
      </c>
      <c r="K108" s="42">
        <v>2.0</v>
      </c>
      <c r="L108" s="42">
        <v>4.0</v>
      </c>
      <c r="M108" s="266">
        <v>8.0</v>
      </c>
      <c r="N108" s="42">
        <v>10.0</v>
      </c>
      <c r="O108" s="42">
        <v>2.0</v>
      </c>
      <c r="P108" s="42">
        <v>4.0</v>
      </c>
      <c r="Q108" s="253">
        <v>8.0</v>
      </c>
      <c r="R108" s="42"/>
      <c r="S108" s="46">
        <f t="shared" ref="S108:U108" si="82">IF(K108=0,0,IF((O108/K108*100)&gt;120,120,O108/K108*100))</f>
        <v>100</v>
      </c>
      <c r="T108" s="46">
        <f t="shared" si="82"/>
        <v>100</v>
      </c>
      <c r="U108" s="46">
        <f t="shared" si="82"/>
        <v>100</v>
      </c>
      <c r="V108" s="46">
        <f t="shared" ref="V108:Y108" si="83">IF($N108=0,0,IF((O108/$N108*100)&gt;120,120,O108/$N108*100))</f>
        <v>20</v>
      </c>
      <c r="W108" s="46">
        <f t="shared" si="83"/>
        <v>40</v>
      </c>
      <c r="X108" s="46">
        <f t="shared" si="83"/>
        <v>80</v>
      </c>
      <c r="Y108" s="46">
        <f t="shared" si="83"/>
        <v>0</v>
      </c>
    </row>
    <row r="109" ht="14.25" customHeight="1">
      <c r="B109" s="77" t="s">
        <v>206</v>
      </c>
      <c r="C109" s="77"/>
      <c r="D109" s="77"/>
      <c r="E109" s="77"/>
      <c r="F109" s="77"/>
      <c r="G109" s="77"/>
      <c r="H109" s="77"/>
      <c r="I109" s="159">
        <v>0.0</v>
      </c>
      <c r="J109" s="133" t="s">
        <v>95</v>
      </c>
      <c r="K109" s="42">
        <v>0.0</v>
      </c>
      <c r="L109" s="42">
        <v>0.0</v>
      </c>
      <c r="M109" s="42">
        <v>0.0</v>
      </c>
      <c r="N109" s="42">
        <v>0.0</v>
      </c>
      <c r="O109" s="42">
        <v>0.0</v>
      </c>
      <c r="P109" s="42">
        <v>0.0</v>
      </c>
      <c r="Q109" s="253">
        <v>0.0</v>
      </c>
      <c r="R109" s="42"/>
      <c r="S109" s="46">
        <f t="shared" ref="S109:U109" si="84">IF(K109=0,0,IF((O109/K109*100)&gt;120,120,O109/K109*100))</f>
        <v>0</v>
      </c>
      <c r="T109" s="46">
        <f t="shared" si="84"/>
        <v>0</v>
      </c>
      <c r="U109" s="46">
        <f t="shared" si="84"/>
        <v>0</v>
      </c>
      <c r="V109" s="46">
        <f t="shared" ref="V109:Y109" si="85">IF($N109=0,0,IF((O109/$N109*100)&gt;120,120,O109/$N109*100))</f>
        <v>0</v>
      </c>
      <c r="W109" s="46">
        <f t="shared" si="85"/>
        <v>0</v>
      </c>
      <c r="X109" s="46">
        <f t="shared" si="85"/>
        <v>0</v>
      </c>
      <c r="Y109" s="46">
        <f t="shared" si="85"/>
        <v>0</v>
      </c>
    </row>
    <row r="110" ht="14.25" customHeight="1">
      <c r="B110" s="77" t="s">
        <v>207</v>
      </c>
      <c r="C110" s="77"/>
      <c r="D110" s="77"/>
      <c r="E110" s="77"/>
      <c r="F110" s="77"/>
      <c r="G110" s="77"/>
      <c r="H110" s="77"/>
      <c r="I110" s="159">
        <v>100.0</v>
      </c>
      <c r="J110" s="133" t="s">
        <v>35</v>
      </c>
      <c r="K110" s="254">
        <f t="shared" ref="K110:P110" si="86">IF($I111=0,0,AVERAGE(IF($I111&gt;0,K111/$I111*100,0)))</f>
        <v>0</v>
      </c>
      <c r="L110" s="254">
        <f t="shared" si="86"/>
        <v>79.9882904</v>
      </c>
      <c r="M110" s="254">
        <f t="shared" si="86"/>
        <v>79.9882904</v>
      </c>
      <c r="N110" s="254">
        <f t="shared" si="86"/>
        <v>98.00936768</v>
      </c>
      <c r="O110" s="254">
        <f t="shared" si="86"/>
        <v>0</v>
      </c>
      <c r="P110" s="254">
        <f t="shared" si="86"/>
        <v>80.18735363</v>
      </c>
      <c r="Q110" s="267">
        <v>80.19</v>
      </c>
      <c r="R110" s="254"/>
      <c r="S110" s="46">
        <f t="shared" ref="S110:U110" si="87">IF(K110=0,0,IF((O110/K110*100)&gt;120,120,O110/K110*100))</f>
        <v>0</v>
      </c>
      <c r="T110" s="46">
        <f t="shared" si="87"/>
        <v>100.2488655</v>
      </c>
      <c r="U110" s="46">
        <f t="shared" si="87"/>
        <v>100.2521739</v>
      </c>
      <c r="V110" s="46">
        <f t="shared" ref="V110:Y110" si="88">IF($N110=0,0,IF((O110/$N110*100)&gt;120,120,O110/$N110*100))</f>
        <v>0</v>
      </c>
      <c r="W110" s="46">
        <f t="shared" si="88"/>
        <v>81.81600956</v>
      </c>
      <c r="X110" s="46">
        <f t="shared" si="88"/>
        <v>81.81870968</v>
      </c>
      <c r="Y110" s="46">
        <f t="shared" si="88"/>
        <v>0</v>
      </c>
    </row>
    <row r="111" ht="14.25" customHeight="1">
      <c r="B111" s="77"/>
      <c r="C111" s="77" t="s">
        <v>208</v>
      </c>
      <c r="D111" s="77"/>
      <c r="E111" s="77"/>
      <c r="F111" s="77"/>
      <c r="G111" s="77"/>
      <c r="H111" s="77"/>
      <c r="I111" s="42">
        <f>SUM(I112:I113)</f>
        <v>8540</v>
      </c>
      <c r="J111" s="136" t="s">
        <v>98</v>
      </c>
      <c r="K111" s="42">
        <v>0.0</v>
      </c>
      <c r="L111" s="42">
        <v>6831.0</v>
      </c>
      <c r="M111" s="42">
        <v>6831.0</v>
      </c>
      <c r="N111" s="42">
        <v>8370.0</v>
      </c>
      <c r="O111" s="42">
        <v>0.0</v>
      </c>
      <c r="P111" s="42">
        <v>6848.0</v>
      </c>
      <c r="Q111" s="253">
        <v>6848.0</v>
      </c>
      <c r="R111" s="42"/>
      <c r="S111" s="111"/>
      <c r="T111" s="111"/>
      <c r="U111" s="111"/>
      <c r="V111" s="111"/>
      <c r="W111" s="111"/>
      <c r="X111" s="111"/>
      <c r="Y111" s="111"/>
    </row>
    <row r="112" ht="14.25" customHeight="1">
      <c r="B112" s="77"/>
      <c r="C112" s="77"/>
      <c r="D112" s="77" t="s">
        <v>209</v>
      </c>
      <c r="E112" s="77"/>
      <c r="F112" s="77"/>
      <c r="G112" s="77"/>
      <c r="H112" s="77"/>
      <c r="I112" s="42">
        <v>6970.0</v>
      </c>
      <c r="J112" s="136" t="s">
        <v>98</v>
      </c>
      <c r="K112" s="42">
        <v>0.0</v>
      </c>
      <c r="L112" s="42">
        <v>6831.0</v>
      </c>
      <c r="M112" s="42">
        <v>6831.0</v>
      </c>
      <c r="N112" s="42">
        <v>6831.0</v>
      </c>
      <c r="O112" s="42">
        <v>0.0</v>
      </c>
      <c r="P112" s="42">
        <v>6848.0</v>
      </c>
      <c r="Q112" s="253">
        <v>6848.0</v>
      </c>
      <c r="R112" s="42"/>
      <c r="S112" s="111"/>
      <c r="T112" s="111"/>
      <c r="U112" s="111"/>
      <c r="V112" s="111"/>
      <c r="W112" s="111"/>
      <c r="X112" s="111"/>
      <c r="Y112" s="111"/>
    </row>
    <row r="113" ht="14.25" customHeight="1">
      <c r="B113" s="77"/>
      <c r="C113" s="77"/>
      <c r="D113" s="77" t="s">
        <v>210</v>
      </c>
      <c r="E113" s="77"/>
      <c r="F113" s="77"/>
      <c r="G113" s="77"/>
      <c r="H113" s="77"/>
      <c r="I113" s="42">
        <v>1570.0</v>
      </c>
      <c r="J113" s="136" t="s">
        <v>98</v>
      </c>
      <c r="K113" s="42">
        <v>0.0</v>
      </c>
      <c r="L113" s="42">
        <v>0.0</v>
      </c>
      <c r="M113" s="42">
        <v>0.0</v>
      </c>
      <c r="N113" s="42">
        <v>1539.0</v>
      </c>
      <c r="O113" s="42">
        <v>0.0</v>
      </c>
      <c r="P113" s="42">
        <v>0.0</v>
      </c>
      <c r="Q113" s="253">
        <v>0.0</v>
      </c>
      <c r="R113" s="42"/>
      <c r="S113" s="111"/>
      <c r="T113" s="111"/>
      <c r="U113" s="111"/>
      <c r="V113" s="111"/>
      <c r="W113" s="111"/>
      <c r="X113" s="111"/>
      <c r="Y113" s="111"/>
    </row>
    <row r="114" ht="14.25" customHeight="1">
      <c r="B114" s="77" t="s">
        <v>211</v>
      </c>
      <c r="C114" s="77"/>
      <c r="D114" s="77"/>
      <c r="E114" s="77"/>
      <c r="F114" s="77"/>
      <c r="G114" s="77"/>
      <c r="H114" s="77"/>
      <c r="I114" s="159">
        <v>100.0</v>
      </c>
      <c r="J114" s="133" t="s">
        <v>35</v>
      </c>
      <c r="K114" s="42">
        <v>0.0</v>
      </c>
      <c r="L114" s="268">
        <f>I112/I111*100</f>
        <v>81.61592506</v>
      </c>
      <c r="M114" s="268">
        <f>L114</f>
        <v>81.61592506</v>
      </c>
      <c r="N114" s="268">
        <f>(I113+I112)/I111*100</f>
        <v>100</v>
      </c>
      <c r="O114" s="42">
        <v>0.0</v>
      </c>
      <c r="P114" s="143">
        <f t="shared" ref="P114:Q114" si="89">L114</f>
        <v>81.61592506</v>
      </c>
      <c r="Q114" s="259">
        <f t="shared" si="89"/>
        <v>81.61592506</v>
      </c>
      <c r="R114" s="42"/>
      <c r="S114" s="46">
        <f t="shared" ref="S114:U114" si="90">IF(K114=0,0,IF((O114/K114*100)&gt;120,120,O114/K114*100))</f>
        <v>0</v>
      </c>
      <c r="T114" s="46">
        <f t="shared" si="90"/>
        <v>100</v>
      </c>
      <c r="U114" s="46">
        <f t="shared" si="90"/>
        <v>100</v>
      </c>
      <c r="V114" s="46">
        <f t="shared" ref="V114:Y114" si="91">IF($N114=0,0,IF((O114/$N114*100)&gt;120,120,O114/$N114*100))</f>
        <v>0</v>
      </c>
      <c r="W114" s="46">
        <f t="shared" si="91"/>
        <v>81.61592506</v>
      </c>
      <c r="X114" s="46">
        <f t="shared" si="91"/>
        <v>81.61592506</v>
      </c>
      <c r="Y114" s="46">
        <f t="shared" si="91"/>
        <v>0</v>
      </c>
    </row>
    <row r="115" ht="14.25" customHeight="1">
      <c r="B115" s="39"/>
      <c r="C115" s="39"/>
      <c r="D115" s="39"/>
      <c r="E115" s="39"/>
      <c r="F115" s="39"/>
      <c r="G115" s="39"/>
      <c r="H115" s="39"/>
      <c r="I115" s="39"/>
      <c r="J115" s="39"/>
      <c r="K115" s="39"/>
      <c r="L115" s="39"/>
      <c r="M115" s="39"/>
      <c r="N115" s="39"/>
      <c r="O115" s="39"/>
      <c r="P115" s="39"/>
      <c r="Q115" s="39"/>
      <c r="R115" s="39"/>
      <c r="S115" s="39"/>
      <c r="T115" s="39"/>
      <c r="U115" s="39"/>
      <c r="V115" s="39"/>
      <c r="W115" s="39"/>
      <c r="X115" s="39"/>
      <c r="Y115" s="39"/>
    </row>
    <row r="116" ht="14.25" customHeight="1">
      <c r="B116" s="260"/>
      <c r="C116" s="261"/>
      <c r="D116" s="262"/>
      <c r="E116" s="262"/>
      <c r="F116" s="262"/>
      <c r="G116" s="263" t="s">
        <v>212</v>
      </c>
      <c r="H116" s="262"/>
      <c r="I116" s="262"/>
      <c r="J116" s="262"/>
      <c r="K116" s="264"/>
      <c r="L116" s="264"/>
      <c r="M116" s="264"/>
      <c r="N116" s="264"/>
      <c r="O116" s="264"/>
      <c r="P116" s="264"/>
      <c r="Q116" s="264"/>
      <c r="R116" s="264"/>
      <c r="S116" s="265">
        <f t="shared" ref="S116:U116" si="92">IF(SUM(K101:K110,K114)&gt;0,SUM(S101:S110,S114)/SUM(COUNTIF(K101:K110,"&gt;0"),COUNTIF(K114,"&gt;0")),0)</f>
        <v>100</v>
      </c>
      <c r="T116" s="265">
        <f t="shared" si="92"/>
        <v>100.0276517</v>
      </c>
      <c r="U116" s="265">
        <f t="shared" si="92"/>
        <v>100.0280193</v>
      </c>
      <c r="V116" s="265">
        <f t="shared" ref="V116:Y116" si="93">SUM(V102:V114)/9</f>
        <v>13.50970018</v>
      </c>
      <c r="W116" s="265">
        <f t="shared" si="93"/>
        <v>53.11501214</v>
      </c>
      <c r="X116" s="265">
        <f t="shared" si="93"/>
        <v>74.49097352</v>
      </c>
      <c r="Y116" s="265">
        <f t="shared" si="93"/>
        <v>0</v>
      </c>
    </row>
    <row r="117" ht="14.25" customHeight="1"/>
    <row r="118" ht="14.25" customHeight="1"/>
    <row r="119" ht="14.25" customHeight="1">
      <c r="B119" s="4" t="s">
        <v>213</v>
      </c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6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</row>
    <row r="120" ht="15.75" customHeight="1">
      <c r="B120" s="118" t="s">
        <v>2</v>
      </c>
      <c r="C120" s="8"/>
      <c r="D120" s="8"/>
      <c r="E120" s="8"/>
      <c r="F120" s="8"/>
      <c r="G120" s="8"/>
      <c r="H120" s="8"/>
      <c r="I120" s="247"/>
      <c r="J120" s="121" t="s">
        <v>3</v>
      </c>
      <c r="K120" s="11"/>
      <c r="L120" s="11"/>
      <c r="M120" s="11"/>
      <c r="N120" s="11"/>
      <c r="O120" s="11"/>
      <c r="P120" s="11"/>
      <c r="Q120" s="11"/>
      <c r="R120" s="12"/>
      <c r="S120" s="121" t="s">
        <v>4</v>
      </c>
      <c r="T120" s="11"/>
      <c r="U120" s="11"/>
      <c r="V120" s="11"/>
      <c r="W120" s="11"/>
      <c r="X120" s="11"/>
      <c r="Y120" s="12"/>
    </row>
    <row r="121" ht="14.25" customHeight="1">
      <c r="B121" s="13"/>
      <c r="I121" s="92"/>
      <c r="J121" s="124" t="s">
        <v>5</v>
      </c>
      <c r="K121" s="125" t="s">
        <v>62</v>
      </c>
      <c r="L121" s="17"/>
      <c r="M121" s="17"/>
      <c r="N121" s="18"/>
      <c r="O121" s="125" t="s">
        <v>63</v>
      </c>
      <c r="P121" s="17"/>
      <c r="Q121" s="17"/>
      <c r="R121" s="18"/>
      <c r="S121" s="125" t="s">
        <v>64</v>
      </c>
      <c r="T121" s="17"/>
      <c r="U121" s="18"/>
      <c r="V121" s="125" t="s">
        <v>9</v>
      </c>
      <c r="W121" s="17"/>
      <c r="X121" s="17"/>
      <c r="Y121" s="18"/>
    </row>
    <row r="122" ht="14.25" customHeight="1">
      <c r="B122" s="19"/>
      <c r="C122" s="20"/>
      <c r="D122" s="20"/>
      <c r="E122" s="20"/>
      <c r="F122" s="20"/>
      <c r="G122" s="20"/>
      <c r="H122" s="20"/>
      <c r="I122" s="21"/>
      <c r="J122" s="22"/>
      <c r="K122" s="127" t="s">
        <v>10</v>
      </c>
      <c r="L122" s="127" t="s">
        <v>11</v>
      </c>
      <c r="M122" s="127" t="s">
        <v>12</v>
      </c>
      <c r="N122" s="127" t="s">
        <v>13</v>
      </c>
      <c r="O122" s="127" t="s">
        <v>10</v>
      </c>
      <c r="P122" s="127" t="s">
        <v>11</v>
      </c>
      <c r="Q122" s="127" t="s">
        <v>12</v>
      </c>
      <c r="R122" s="127" t="s">
        <v>13</v>
      </c>
      <c r="S122" s="127" t="s">
        <v>10</v>
      </c>
      <c r="T122" s="127" t="s">
        <v>11</v>
      </c>
      <c r="U122" s="127" t="s">
        <v>12</v>
      </c>
      <c r="V122" s="127" t="s">
        <v>10</v>
      </c>
      <c r="W122" s="127" t="s">
        <v>11</v>
      </c>
      <c r="X122" s="127" t="s">
        <v>12</v>
      </c>
      <c r="Y122" s="127" t="s">
        <v>13</v>
      </c>
    </row>
    <row r="123" ht="14.25" customHeight="1">
      <c r="B123" s="129">
        <v>-1.0</v>
      </c>
      <c r="C123" s="27"/>
      <c r="D123" s="27"/>
      <c r="E123" s="27"/>
      <c r="F123" s="27"/>
      <c r="G123" s="27"/>
      <c r="H123" s="27"/>
      <c r="I123" s="248"/>
      <c r="J123" s="131">
        <v>-2.0</v>
      </c>
      <c r="K123" s="131">
        <v>-3.0</v>
      </c>
      <c r="L123" s="131">
        <v>-4.0</v>
      </c>
      <c r="M123" s="131">
        <v>-5.0</v>
      </c>
      <c r="N123" s="131">
        <v>-6.0</v>
      </c>
      <c r="O123" s="131">
        <v>-7.0</v>
      </c>
      <c r="P123" s="131">
        <v>-8.0</v>
      </c>
      <c r="Q123" s="131">
        <v>-9.0</v>
      </c>
      <c r="R123" s="131">
        <v>-10.0</v>
      </c>
      <c r="S123" s="131">
        <v>-11.0</v>
      </c>
      <c r="T123" s="131">
        <v>-12.0</v>
      </c>
      <c r="U123" s="131">
        <v>-13.0</v>
      </c>
      <c r="V123" s="131">
        <v>-14.0</v>
      </c>
      <c r="W123" s="131">
        <v>-15.0</v>
      </c>
      <c r="X123" s="131">
        <v>-16.0</v>
      </c>
      <c r="Y123" s="131">
        <v>-17.0</v>
      </c>
    </row>
    <row r="124" ht="14.25" customHeight="1">
      <c r="B124" s="35"/>
      <c r="C124" s="35"/>
      <c r="D124" s="35"/>
      <c r="E124" s="35"/>
      <c r="F124" s="35"/>
      <c r="G124" s="35"/>
      <c r="H124" s="35"/>
      <c r="I124" s="35"/>
      <c r="J124" s="35"/>
      <c r="K124" s="35"/>
      <c r="L124" s="35"/>
      <c r="M124" s="35"/>
      <c r="N124" s="35"/>
      <c r="O124" s="35"/>
      <c r="P124" s="35"/>
      <c r="Q124" s="35"/>
      <c r="R124" s="35"/>
      <c r="S124" s="35"/>
      <c r="T124" s="35"/>
      <c r="U124" s="35"/>
      <c r="V124" s="35"/>
      <c r="W124" s="35"/>
      <c r="X124" s="35"/>
      <c r="Y124" s="35"/>
    </row>
    <row r="125" ht="14.25" customHeight="1">
      <c r="B125" s="77" t="s">
        <v>214</v>
      </c>
      <c r="C125" s="77"/>
      <c r="D125" s="77"/>
      <c r="E125" s="77"/>
      <c r="F125" s="77"/>
      <c r="G125" s="77"/>
      <c r="H125" s="77"/>
      <c r="I125" s="132">
        <v>2.0</v>
      </c>
      <c r="J125" s="133" t="s">
        <v>85</v>
      </c>
      <c r="K125" s="135">
        <f t="shared" ref="K125:M125" si="94">SUM(K126:K127)</f>
        <v>1</v>
      </c>
      <c r="L125" s="135">
        <f t="shared" si="94"/>
        <v>1</v>
      </c>
      <c r="M125" s="249">
        <f t="shared" si="94"/>
        <v>1</v>
      </c>
      <c r="N125" s="250">
        <v>2.0</v>
      </c>
      <c r="O125" s="251">
        <f t="shared" ref="O125:Q125" si="95">SUM(O126:O127)</f>
        <v>1</v>
      </c>
      <c r="P125" s="135">
        <f t="shared" si="95"/>
        <v>1</v>
      </c>
      <c r="Q125" s="249">
        <f t="shared" si="95"/>
        <v>1</v>
      </c>
      <c r="R125" s="135"/>
      <c r="S125" s="254">
        <f>IF($I126+$I129=0,0,AVERAGE(IF($I126&gt;0,S126/$I126*100,0),IF($I129&gt;0,S129/$I129*100,0)))</f>
        <v>10000</v>
      </c>
      <c r="T125" s="46">
        <f t="shared" ref="T125:U125" si="96">IF(L125=0,0,IF((P125/L125*100)&gt;120,120,P125/L125*100))</f>
        <v>100</v>
      </c>
      <c r="U125" s="46">
        <f t="shared" si="96"/>
        <v>100</v>
      </c>
      <c r="V125" s="46">
        <f t="shared" ref="V125:Y125" si="97">IF($N125=0,0,IF((O125/$N125*100)&gt;120,120,O125/$N125*100))</f>
        <v>50</v>
      </c>
      <c r="W125" s="46">
        <f t="shared" si="97"/>
        <v>50</v>
      </c>
      <c r="X125" s="46">
        <f t="shared" si="97"/>
        <v>50</v>
      </c>
      <c r="Y125" s="46">
        <f t="shared" si="97"/>
        <v>0</v>
      </c>
    </row>
    <row r="126" ht="14.25" customHeight="1">
      <c r="B126" s="77"/>
      <c r="C126" s="77" t="s">
        <v>215</v>
      </c>
      <c r="D126" s="77"/>
      <c r="E126" s="77"/>
      <c r="F126" s="77"/>
      <c r="G126" s="77"/>
      <c r="H126" s="77"/>
      <c r="I126" s="132">
        <v>1.0</v>
      </c>
      <c r="J126" s="136" t="s">
        <v>87</v>
      </c>
      <c r="K126" s="42">
        <v>1.0</v>
      </c>
      <c r="L126" s="42">
        <v>1.0</v>
      </c>
      <c r="M126" s="42">
        <v>1.0</v>
      </c>
      <c r="N126" s="42">
        <v>1.0</v>
      </c>
      <c r="O126" s="42">
        <v>1.0</v>
      </c>
      <c r="P126" s="42">
        <v>1.0</v>
      </c>
      <c r="Q126" s="42">
        <v>1.0</v>
      </c>
      <c r="R126" s="42"/>
      <c r="S126" s="46">
        <f t="shared" ref="S126:U126" si="98">IF(K126=0,0,IF((O126/K126*100)&gt;120,120,O126/K126*100))</f>
        <v>100</v>
      </c>
      <c r="T126" s="46">
        <f t="shared" si="98"/>
        <v>100</v>
      </c>
      <c r="U126" s="46">
        <f t="shared" si="98"/>
        <v>100</v>
      </c>
      <c r="V126" s="46">
        <f t="shared" ref="V126:Y126" si="99">IF($N126=0,0,IF((O126/$N126*100)&gt;120,120,O126/$N126*100))</f>
        <v>100</v>
      </c>
      <c r="W126" s="46">
        <f t="shared" si="99"/>
        <v>100</v>
      </c>
      <c r="X126" s="46">
        <f t="shared" si="99"/>
        <v>100</v>
      </c>
      <c r="Y126" s="46">
        <f t="shared" si="99"/>
        <v>0</v>
      </c>
    </row>
    <row r="127" ht="14.25" customHeight="1">
      <c r="B127" s="77"/>
      <c r="C127" s="77" t="s">
        <v>216</v>
      </c>
      <c r="D127" s="77"/>
      <c r="E127" s="77"/>
      <c r="F127" s="77"/>
      <c r="G127" s="77"/>
      <c r="H127" s="77"/>
      <c r="I127" s="132">
        <v>1.0</v>
      </c>
      <c r="J127" s="136" t="s">
        <v>66</v>
      </c>
      <c r="K127" s="42">
        <v>0.0</v>
      </c>
      <c r="L127" s="42">
        <v>0.0</v>
      </c>
      <c r="M127" s="42">
        <v>0.0</v>
      </c>
      <c r="N127" s="42">
        <v>1.0</v>
      </c>
      <c r="O127" s="42">
        <v>0.0</v>
      </c>
      <c r="P127" s="42">
        <v>0.0</v>
      </c>
      <c r="Q127" s="42">
        <v>0.0</v>
      </c>
      <c r="R127" s="42"/>
      <c r="S127" s="46">
        <f t="shared" ref="S127:U127" si="100">IF(K127=0,0,IF((O127/K127*100)&gt;120,120,O127/K127*100))</f>
        <v>0</v>
      </c>
      <c r="T127" s="46">
        <f t="shared" si="100"/>
        <v>0</v>
      </c>
      <c r="U127" s="46">
        <f t="shared" si="100"/>
        <v>0</v>
      </c>
      <c r="V127" s="46">
        <f t="shared" ref="V127:Y127" si="101">IF($N127=0,0,IF((O127/$N127*100)&gt;120,120,O127/$N127*100))</f>
        <v>0</v>
      </c>
      <c r="W127" s="46">
        <f t="shared" si="101"/>
        <v>0</v>
      </c>
      <c r="X127" s="46">
        <f t="shared" si="101"/>
        <v>0</v>
      </c>
      <c r="Y127" s="46">
        <f t="shared" si="101"/>
        <v>0</v>
      </c>
    </row>
    <row r="128" ht="14.25" customHeight="1">
      <c r="B128" s="77" t="s">
        <v>217</v>
      </c>
      <c r="C128" s="77"/>
      <c r="D128" s="77"/>
      <c r="E128" s="77"/>
      <c r="F128" s="77"/>
      <c r="G128" s="77"/>
      <c r="H128" s="77"/>
      <c r="I128" s="132">
        <v>2.0</v>
      </c>
      <c r="J128" s="133" t="s">
        <v>85</v>
      </c>
      <c r="K128" s="135">
        <f t="shared" ref="K128:Q128" si="102">SUM(K129:K130)</f>
        <v>1</v>
      </c>
      <c r="L128" s="135">
        <f t="shared" si="102"/>
        <v>1</v>
      </c>
      <c r="M128" s="135">
        <f t="shared" si="102"/>
        <v>1</v>
      </c>
      <c r="N128" s="250">
        <f t="shared" si="102"/>
        <v>2</v>
      </c>
      <c r="O128" s="135">
        <f t="shared" si="102"/>
        <v>1</v>
      </c>
      <c r="P128" s="135">
        <f t="shared" si="102"/>
        <v>1</v>
      </c>
      <c r="Q128" s="135">
        <f t="shared" si="102"/>
        <v>1</v>
      </c>
      <c r="R128" s="135"/>
      <c r="S128" s="46">
        <f t="shared" ref="S128:U128" si="103">IF(K128=0,0,IF((O128/K128*100)&gt;120,120,O128/K128*100))</f>
        <v>100</v>
      </c>
      <c r="T128" s="46">
        <f t="shared" si="103"/>
        <v>100</v>
      </c>
      <c r="U128" s="46">
        <f t="shared" si="103"/>
        <v>100</v>
      </c>
      <c r="V128" s="46">
        <f t="shared" ref="V128:Y128" si="104">IF($N128=0,0,IF((O128/$N128*100)&gt;120,120,O128/$N128*100))</f>
        <v>50</v>
      </c>
      <c r="W128" s="46">
        <f t="shared" si="104"/>
        <v>50</v>
      </c>
      <c r="X128" s="46">
        <f t="shared" si="104"/>
        <v>50</v>
      </c>
      <c r="Y128" s="46">
        <f t="shared" si="104"/>
        <v>0</v>
      </c>
    </row>
    <row r="129" ht="14.25" customHeight="1">
      <c r="B129" s="77"/>
      <c r="C129" s="77" t="s">
        <v>218</v>
      </c>
      <c r="D129" s="77"/>
      <c r="E129" s="77"/>
      <c r="F129" s="77"/>
      <c r="G129" s="77"/>
      <c r="H129" s="77"/>
      <c r="I129" s="132">
        <v>1.0</v>
      </c>
      <c r="J129" s="136" t="s">
        <v>87</v>
      </c>
      <c r="K129" s="42">
        <v>1.0</v>
      </c>
      <c r="L129" s="42">
        <v>1.0</v>
      </c>
      <c r="M129" s="42">
        <v>1.0</v>
      </c>
      <c r="N129" s="42">
        <v>1.0</v>
      </c>
      <c r="O129" s="42">
        <v>1.0</v>
      </c>
      <c r="P129" s="42">
        <v>1.0</v>
      </c>
      <c r="Q129" s="42">
        <v>1.0</v>
      </c>
      <c r="R129" s="42"/>
      <c r="S129" s="46">
        <f t="shared" ref="S129:U129" si="105">IF(K129=0,0,IF((O129/K129*100)&gt;120,120,O129/K129*100))</f>
        <v>100</v>
      </c>
      <c r="T129" s="46">
        <f t="shared" si="105"/>
        <v>100</v>
      </c>
      <c r="U129" s="46">
        <f t="shared" si="105"/>
        <v>100</v>
      </c>
      <c r="V129" s="46">
        <f t="shared" ref="V129:Y129" si="106">IF($N129=0,0,IF((O129/$N129*100)&gt;120,120,O129/$N129*100))</f>
        <v>100</v>
      </c>
      <c r="W129" s="46">
        <f t="shared" si="106"/>
        <v>100</v>
      </c>
      <c r="X129" s="46">
        <f t="shared" si="106"/>
        <v>100</v>
      </c>
      <c r="Y129" s="46">
        <f t="shared" si="106"/>
        <v>0</v>
      </c>
    </row>
    <row r="130" ht="14.25" customHeight="1">
      <c r="B130" s="77"/>
      <c r="C130" s="77" t="s">
        <v>219</v>
      </c>
      <c r="D130" s="77"/>
      <c r="E130" s="77"/>
      <c r="F130" s="77"/>
      <c r="G130" s="77"/>
      <c r="H130" s="77"/>
      <c r="I130" s="132">
        <v>1.0</v>
      </c>
      <c r="J130" s="136" t="s">
        <v>66</v>
      </c>
      <c r="K130" s="42">
        <v>0.0</v>
      </c>
      <c r="L130" s="42">
        <v>0.0</v>
      </c>
      <c r="M130" s="42">
        <v>0.0</v>
      </c>
      <c r="N130" s="42">
        <v>1.0</v>
      </c>
      <c r="O130" s="42">
        <v>0.0</v>
      </c>
      <c r="P130" s="42">
        <v>0.0</v>
      </c>
      <c r="Q130" s="42">
        <v>0.0</v>
      </c>
      <c r="R130" s="42"/>
      <c r="S130" s="46">
        <f t="shared" ref="S130:U130" si="107">IF(K130=0,0,IF((O130/K130*100)&gt;120,120,O130/K130*100))</f>
        <v>0</v>
      </c>
      <c r="T130" s="46">
        <f t="shared" si="107"/>
        <v>0</v>
      </c>
      <c r="U130" s="46">
        <f t="shared" si="107"/>
        <v>0</v>
      </c>
      <c r="V130" s="46">
        <f t="shared" ref="V130:Y130" si="108">IF($N130=0,0,IF((O130/$N130*100)&gt;120,120,O130/$N130*100))</f>
        <v>0</v>
      </c>
      <c r="W130" s="46">
        <f t="shared" si="108"/>
        <v>0</v>
      </c>
      <c r="X130" s="46">
        <f t="shared" si="108"/>
        <v>0</v>
      </c>
      <c r="Y130" s="46">
        <f t="shared" si="108"/>
        <v>0</v>
      </c>
    </row>
    <row r="131" ht="14.25" customHeight="1">
      <c r="B131" s="77" t="s">
        <v>220</v>
      </c>
      <c r="C131" s="77"/>
      <c r="D131" s="77"/>
      <c r="E131" s="77"/>
      <c r="F131" s="77"/>
      <c r="G131" s="77"/>
      <c r="H131" s="77"/>
      <c r="I131" s="132">
        <v>1.0</v>
      </c>
      <c r="J131" s="133" t="s">
        <v>87</v>
      </c>
      <c r="K131" s="42">
        <v>1.0</v>
      </c>
      <c r="L131" s="42">
        <v>1.0</v>
      </c>
      <c r="M131" s="42">
        <v>1.0</v>
      </c>
      <c r="N131" s="42">
        <v>1.0</v>
      </c>
      <c r="O131" s="42">
        <v>1.0</v>
      </c>
      <c r="P131" s="42">
        <v>1.0</v>
      </c>
      <c r="Q131" s="42">
        <v>1.0</v>
      </c>
      <c r="R131" s="42"/>
      <c r="S131" s="46">
        <f t="shared" ref="S131:U131" si="109">IF(K131=0,0,IF((O131/K131*100)&gt;120,120,O131/K131*100))</f>
        <v>100</v>
      </c>
      <c r="T131" s="46">
        <f t="shared" si="109"/>
        <v>100</v>
      </c>
      <c r="U131" s="46">
        <f t="shared" si="109"/>
        <v>100</v>
      </c>
      <c r="V131" s="46">
        <f t="shared" ref="V131:Y131" si="110">IF($N131=0,0,IF((O131/$N131*100)&gt;120,120,O131/$N131*100))</f>
        <v>100</v>
      </c>
      <c r="W131" s="46">
        <f t="shared" si="110"/>
        <v>100</v>
      </c>
      <c r="X131" s="46">
        <f t="shared" si="110"/>
        <v>100</v>
      </c>
      <c r="Y131" s="46">
        <f t="shared" si="110"/>
        <v>0</v>
      </c>
    </row>
    <row r="132" ht="14.25" customHeight="1">
      <c r="B132" s="77" t="s">
        <v>221</v>
      </c>
      <c r="C132" s="77"/>
      <c r="D132" s="77"/>
      <c r="E132" s="77"/>
      <c r="F132" s="77"/>
      <c r="G132" s="77"/>
      <c r="H132" s="77"/>
      <c r="I132" s="132">
        <v>4.0</v>
      </c>
      <c r="J132" s="133" t="s">
        <v>95</v>
      </c>
      <c r="K132" s="42">
        <v>2.0</v>
      </c>
      <c r="L132" s="42">
        <v>2.0</v>
      </c>
      <c r="M132" s="42">
        <v>4.0</v>
      </c>
      <c r="N132" s="42">
        <v>4.0</v>
      </c>
      <c r="O132" s="42">
        <v>2.0</v>
      </c>
      <c r="P132" s="42">
        <v>2.0</v>
      </c>
      <c r="Q132" s="42">
        <v>4.0</v>
      </c>
      <c r="R132" s="42"/>
      <c r="S132" s="46">
        <f t="shared" ref="S132:U132" si="111">IF(K132=0,0,IF((O132/K132*100)&gt;120,120,O132/K132*100))</f>
        <v>100</v>
      </c>
      <c r="T132" s="46">
        <f t="shared" si="111"/>
        <v>100</v>
      </c>
      <c r="U132" s="46">
        <f t="shared" si="111"/>
        <v>100</v>
      </c>
      <c r="V132" s="46">
        <f t="shared" ref="V132:Y132" si="112">IF($N132=0,0,IF((O132/$N132*100)&gt;120,120,O132/$N132*100))</f>
        <v>50</v>
      </c>
      <c r="W132" s="46">
        <f t="shared" si="112"/>
        <v>50</v>
      </c>
      <c r="X132" s="46">
        <f t="shared" si="112"/>
        <v>100</v>
      </c>
      <c r="Y132" s="46">
        <f t="shared" si="112"/>
        <v>0</v>
      </c>
    </row>
    <row r="133" ht="14.25" customHeight="1">
      <c r="B133" s="77" t="s">
        <v>222</v>
      </c>
      <c r="C133" s="77"/>
      <c r="D133" s="77"/>
      <c r="E133" s="77"/>
      <c r="F133" s="77"/>
      <c r="G133" s="77"/>
      <c r="H133" s="77"/>
      <c r="I133" s="132">
        <v>100.0</v>
      </c>
      <c r="J133" s="133" t="s">
        <v>35</v>
      </c>
      <c r="K133" s="254">
        <f t="shared" ref="K133:Q133" si="113">IF($I134+$I137=0,0,AVERAGE(IF($I134&gt;0,K134/$I134*100,0),IF($I137&gt;0,K137/$I137*100,0)))</f>
        <v>0</v>
      </c>
      <c r="L133" s="254">
        <f t="shared" si="113"/>
        <v>71.42857143</v>
      </c>
      <c r="M133" s="254">
        <f t="shared" si="113"/>
        <v>85.71428571</v>
      </c>
      <c r="N133" s="254">
        <f t="shared" si="113"/>
        <v>100</v>
      </c>
      <c r="O133" s="254">
        <f t="shared" si="113"/>
        <v>0</v>
      </c>
      <c r="P133" s="254">
        <f t="shared" si="113"/>
        <v>71.42857143</v>
      </c>
      <c r="Q133" s="254">
        <f t="shared" si="113"/>
        <v>85.71428571</v>
      </c>
      <c r="R133" s="254"/>
      <c r="S133" s="46">
        <f t="shared" ref="S133:U133" si="114">IF(K133=0,0,IF((O133/K133*100)&gt;120,120,O133/K133*100))</f>
        <v>0</v>
      </c>
      <c r="T133" s="46">
        <f t="shared" si="114"/>
        <v>100</v>
      </c>
      <c r="U133" s="46">
        <f t="shared" si="114"/>
        <v>100</v>
      </c>
      <c r="V133" s="46">
        <f t="shared" ref="V133:Y133" si="115">IF($N133=0,0,IF((O133/$N133*100)&gt;120,120,O133/$N133*100))</f>
        <v>0</v>
      </c>
      <c r="W133" s="46">
        <f t="shared" si="115"/>
        <v>71.42857143</v>
      </c>
      <c r="X133" s="46">
        <f t="shared" si="115"/>
        <v>85.71428571</v>
      </c>
      <c r="Y133" s="46">
        <f t="shared" si="115"/>
        <v>0</v>
      </c>
    </row>
    <row r="134" ht="14.25" customHeight="1">
      <c r="B134" s="77"/>
      <c r="C134" s="77" t="s">
        <v>223</v>
      </c>
      <c r="D134" s="77"/>
      <c r="E134" s="77"/>
      <c r="F134" s="77"/>
      <c r="G134" s="77"/>
      <c r="H134" s="77"/>
      <c r="I134" s="140">
        <f>I135+I136</f>
        <v>120</v>
      </c>
      <c r="J134" s="136" t="s">
        <v>98</v>
      </c>
      <c r="K134" s="42">
        <f t="shared" ref="K134:N134" si="116">K135+K136</f>
        <v>0</v>
      </c>
      <c r="L134" s="42">
        <f t="shared" si="116"/>
        <v>120</v>
      </c>
      <c r="M134" s="42">
        <f t="shared" si="116"/>
        <v>120</v>
      </c>
      <c r="N134" s="42">
        <f t="shared" si="116"/>
        <v>120</v>
      </c>
      <c r="O134" s="42">
        <f t="shared" ref="O134:P134" si="117">SUM(O135:O136)</f>
        <v>0</v>
      </c>
      <c r="P134" s="42">
        <f t="shared" si="117"/>
        <v>120</v>
      </c>
      <c r="Q134" s="42">
        <f>Q135+Q136</f>
        <v>120</v>
      </c>
      <c r="R134" s="42"/>
      <c r="S134" s="111"/>
      <c r="T134" s="111"/>
      <c r="U134" s="111"/>
      <c r="V134" s="111"/>
      <c r="W134" s="111"/>
      <c r="X134" s="111"/>
      <c r="Y134" s="111"/>
    </row>
    <row r="135" ht="14.25" customHeight="1">
      <c r="B135" s="77"/>
      <c r="C135" s="77"/>
      <c r="D135" s="77" t="s">
        <v>224</v>
      </c>
      <c r="E135" s="77"/>
      <c r="F135" s="77"/>
      <c r="G135" s="77"/>
      <c r="H135" s="77"/>
      <c r="I135" s="269">
        <v>120.0</v>
      </c>
      <c r="J135" s="136" t="s">
        <v>98</v>
      </c>
      <c r="K135" s="42">
        <v>0.0</v>
      </c>
      <c r="L135" s="253">
        <v>120.0</v>
      </c>
      <c r="M135" s="253">
        <v>120.0</v>
      </c>
      <c r="N135" s="253">
        <v>120.0</v>
      </c>
      <c r="O135" s="42">
        <v>0.0</v>
      </c>
      <c r="P135" s="42">
        <v>120.0</v>
      </c>
      <c r="Q135" s="253">
        <v>120.0</v>
      </c>
      <c r="R135" s="42"/>
      <c r="S135" s="111"/>
      <c r="T135" s="111"/>
      <c r="U135" s="111"/>
      <c r="V135" s="111"/>
      <c r="W135" s="111"/>
      <c r="X135" s="111"/>
      <c r="Y135" s="111"/>
    </row>
    <row r="136" ht="14.25" customHeight="1">
      <c r="B136" s="77"/>
      <c r="C136" s="77"/>
      <c r="D136" s="270" t="s">
        <v>225</v>
      </c>
      <c r="E136" s="77"/>
      <c r="F136" s="77"/>
      <c r="G136" s="77"/>
      <c r="H136" s="77"/>
      <c r="I136" s="271">
        <v>0.0</v>
      </c>
      <c r="J136" s="136" t="s">
        <v>98</v>
      </c>
      <c r="K136" s="42">
        <v>0.0</v>
      </c>
      <c r="L136" s="42">
        <v>0.0</v>
      </c>
      <c r="M136" s="42">
        <v>0.0</v>
      </c>
      <c r="N136" s="253">
        <v>0.0</v>
      </c>
      <c r="O136" s="42">
        <v>0.0</v>
      </c>
      <c r="P136" s="42">
        <v>0.0</v>
      </c>
      <c r="Q136" s="42">
        <v>0.0</v>
      </c>
      <c r="R136" s="42"/>
      <c r="S136" s="111"/>
      <c r="T136" s="111"/>
      <c r="U136" s="111"/>
      <c r="V136" s="111"/>
      <c r="W136" s="111"/>
      <c r="X136" s="111"/>
      <c r="Y136" s="111"/>
    </row>
    <row r="137" ht="14.25" customHeight="1">
      <c r="B137" s="77"/>
      <c r="C137" s="77" t="s">
        <v>226</v>
      </c>
      <c r="D137" s="77"/>
      <c r="E137" s="77"/>
      <c r="F137" s="77"/>
      <c r="G137" s="77"/>
      <c r="H137" s="77"/>
      <c r="I137" s="141">
        <v>21.0</v>
      </c>
      <c r="J137" s="136" t="s">
        <v>98</v>
      </c>
      <c r="K137" s="42">
        <f t="shared" ref="K137:Q137" si="118">SUM(K138:K141)</f>
        <v>0</v>
      </c>
      <c r="L137" s="42">
        <f t="shared" si="118"/>
        <v>9</v>
      </c>
      <c r="M137" s="42">
        <f t="shared" si="118"/>
        <v>15</v>
      </c>
      <c r="N137" s="42">
        <f t="shared" si="118"/>
        <v>21</v>
      </c>
      <c r="O137" s="42">
        <f t="shared" si="118"/>
        <v>0</v>
      </c>
      <c r="P137" s="42">
        <f t="shared" si="118"/>
        <v>9</v>
      </c>
      <c r="Q137" s="42">
        <f t="shared" si="118"/>
        <v>15</v>
      </c>
      <c r="R137" s="42"/>
      <c r="S137" s="111"/>
      <c r="T137" s="111"/>
      <c r="U137" s="111"/>
      <c r="V137" s="111"/>
      <c r="W137" s="111"/>
      <c r="X137" s="111"/>
      <c r="Y137" s="111"/>
    </row>
    <row r="138" ht="14.25" customHeight="1">
      <c r="B138" s="77"/>
      <c r="C138" s="77"/>
      <c r="D138" s="77" t="s">
        <v>227</v>
      </c>
      <c r="E138" s="77"/>
      <c r="F138" s="77"/>
      <c r="G138" s="77"/>
      <c r="H138" s="77"/>
      <c r="I138" s="141">
        <v>3.0</v>
      </c>
      <c r="J138" s="136" t="s">
        <v>98</v>
      </c>
      <c r="K138" s="42">
        <v>0.0</v>
      </c>
      <c r="L138" s="42">
        <v>3.0</v>
      </c>
      <c r="M138" s="42">
        <v>3.0</v>
      </c>
      <c r="N138" s="42">
        <v>3.0</v>
      </c>
      <c r="O138" s="42">
        <v>0.0</v>
      </c>
      <c r="P138" s="42">
        <v>3.0</v>
      </c>
      <c r="Q138" s="42">
        <v>3.0</v>
      </c>
      <c r="R138" s="42"/>
      <c r="S138" s="111"/>
      <c r="T138" s="111"/>
      <c r="U138" s="111"/>
      <c r="V138" s="111"/>
      <c r="W138" s="111"/>
      <c r="X138" s="111"/>
      <c r="Y138" s="111"/>
    </row>
    <row r="139" ht="14.25" customHeight="1">
      <c r="B139" s="77"/>
      <c r="C139" s="77"/>
      <c r="D139" s="77" t="s">
        <v>228</v>
      </c>
      <c r="E139" s="77"/>
      <c r="F139" s="77"/>
      <c r="G139" s="77"/>
      <c r="H139" s="77"/>
      <c r="I139" s="141">
        <v>3.0</v>
      </c>
      <c r="J139" s="136" t="s">
        <v>98</v>
      </c>
      <c r="K139" s="42">
        <v>0.0</v>
      </c>
      <c r="L139" s="42">
        <v>3.0</v>
      </c>
      <c r="M139" s="42">
        <v>3.0</v>
      </c>
      <c r="N139" s="42">
        <v>3.0</v>
      </c>
      <c r="O139" s="42">
        <v>0.0</v>
      </c>
      <c r="P139" s="42">
        <v>3.0</v>
      </c>
      <c r="Q139" s="42">
        <v>3.0</v>
      </c>
      <c r="R139" s="42"/>
      <c r="S139" s="111"/>
      <c r="T139" s="111"/>
      <c r="U139" s="111"/>
      <c r="V139" s="111"/>
      <c r="W139" s="111"/>
      <c r="X139" s="111"/>
      <c r="Y139" s="111"/>
    </row>
    <row r="140" ht="14.25" customHeight="1">
      <c r="B140" s="77"/>
      <c r="C140" s="77"/>
      <c r="D140" s="77" t="s">
        <v>229</v>
      </c>
      <c r="E140" s="77"/>
      <c r="F140" s="77"/>
      <c r="G140" s="77"/>
      <c r="H140" s="77"/>
      <c r="I140" s="141">
        <v>3.0</v>
      </c>
      <c r="J140" s="136" t="s">
        <v>98</v>
      </c>
      <c r="K140" s="42">
        <v>0.0</v>
      </c>
      <c r="L140" s="42">
        <v>3.0</v>
      </c>
      <c r="M140" s="42">
        <v>3.0</v>
      </c>
      <c r="N140" s="42">
        <v>3.0</v>
      </c>
      <c r="O140" s="42">
        <v>0.0</v>
      </c>
      <c r="P140" s="42">
        <v>3.0</v>
      </c>
      <c r="Q140" s="42">
        <v>3.0</v>
      </c>
      <c r="R140" s="42"/>
      <c r="S140" s="111"/>
      <c r="T140" s="111"/>
      <c r="U140" s="111"/>
      <c r="V140" s="111"/>
      <c r="W140" s="111"/>
      <c r="X140" s="111"/>
      <c r="Y140" s="111"/>
    </row>
    <row r="141" ht="14.25" customHeight="1">
      <c r="B141" s="77"/>
      <c r="C141" s="77"/>
      <c r="D141" s="77" t="s">
        <v>230</v>
      </c>
      <c r="E141" s="77"/>
      <c r="F141" s="77"/>
      <c r="G141" s="77"/>
      <c r="H141" s="77"/>
      <c r="I141" s="141">
        <v>12.0</v>
      </c>
      <c r="J141" s="136" t="s">
        <v>98</v>
      </c>
      <c r="K141" s="42">
        <v>0.0</v>
      </c>
      <c r="L141" s="42">
        <v>0.0</v>
      </c>
      <c r="M141" s="253">
        <v>6.0</v>
      </c>
      <c r="N141" s="42">
        <v>12.0</v>
      </c>
      <c r="O141" s="42">
        <v>0.0</v>
      </c>
      <c r="P141" s="42">
        <v>0.0</v>
      </c>
      <c r="Q141" s="253">
        <v>6.0</v>
      </c>
      <c r="R141" s="42"/>
      <c r="S141" s="111"/>
      <c r="T141" s="111"/>
      <c r="U141" s="111"/>
      <c r="V141" s="111"/>
      <c r="W141" s="111"/>
      <c r="X141" s="111"/>
      <c r="Y141" s="111"/>
    </row>
    <row r="142" ht="14.25" customHeight="1">
      <c r="B142" s="77" t="s">
        <v>231</v>
      </c>
      <c r="C142" s="77"/>
      <c r="D142" s="77"/>
      <c r="E142" s="77"/>
      <c r="F142" s="77"/>
      <c r="G142" s="77"/>
      <c r="H142" s="77"/>
      <c r="I142" s="132">
        <v>100.0</v>
      </c>
      <c r="J142" s="133" t="s">
        <v>35</v>
      </c>
      <c r="K142" s="143">
        <v>0.0</v>
      </c>
      <c r="L142" s="143">
        <f>(L134+L137)/(I134+I137)*100</f>
        <v>91.4893617</v>
      </c>
      <c r="M142" s="143">
        <f>(M134+M137)/(I134+I137)*100</f>
        <v>95.74468085</v>
      </c>
      <c r="N142" s="143">
        <f>(N134+N137)/(I134+I137)*100</f>
        <v>100</v>
      </c>
      <c r="O142" s="143">
        <f t="shared" ref="O142:Q142" si="119">K142</f>
        <v>0</v>
      </c>
      <c r="P142" s="143">
        <f t="shared" si="119"/>
        <v>91.4893617</v>
      </c>
      <c r="Q142" s="143">
        <f t="shared" si="119"/>
        <v>95.74468085</v>
      </c>
      <c r="R142" s="143"/>
      <c r="S142" s="46">
        <f t="shared" ref="S142:U142" si="120">IF(K142=0,0,IF((O142/K142*100)&gt;120,120,O142/K142*100))</f>
        <v>0</v>
      </c>
      <c r="T142" s="46">
        <f t="shared" si="120"/>
        <v>100</v>
      </c>
      <c r="U142" s="46">
        <f t="shared" si="120"/>
        <v>100</v>
      </c>
      <c r="V142" s="46">
        <f t="shared" ref="V142:Y142" si="121">IF($N142=0,0,IF((O142/$N142*100)&gt;120,120,O142/$N142*100))</f>
        <v>0</v>
      </c>
      <c r="W142" s="46">
        <f t="shared" si="121"/>
        <v>91.4893617</v>
      </c>
      <c r="X142" s="46">
        <f t="shared" si="121"/>
        <v>95.74468085</v>
      </c>
      <c r="Y142" s="46">
        <f t="shared" si="121"/>
        <v>0</v>
      </c>
    </row>
    <row r="143" ht="14.25" customHeight="1">
      <c r="B143" s="39"/>
      <c r="C143" s="39"/>
      <c r="D143" s="77"/>
      <c r="E143" s="77"/>
      <c r="F143" s="77"/>
      <c r="G143" s="77"/>
      <c r="H143" s="77"/>
      <c r="I143" s="77"/>
      <c r="J143" s="77"/>
      <c r="K143" s="77"/>
      <c r="L143" s="77"/>
      <c r="M143" s="77"/>
      <c r="N143" s="77"/>
      <c r="O143" s="77"/>
      <c r="P143" s="77"/>
      <c r="Q143" s="77"/>
      <c r="R143" s="77"/>
      <c r="S143" s="77"/>
      <c r="T143" s="77"/>
      <c r="U143" s="77"/>
      <c r="V143" s="77"/>
      <c r="W143" s="77"/>
      <c r="X143" s="77"/>
      <c r="Y143" s="77"/>
    </row>
    <row r="144" ht="14.25" customHeight="1">
      <c r="B144" s="260"/>
      <c r="C144" s="261"/>
      <c r="D144" s="262"/>
      <c r="E144" s="262"/>
      <c r="F144" s="262"/>
      <c r="G144" s="263" t="s">
        <v>232</v>
      </c>
      <c r="H144" s="262"/>
      <c r="I144" s="262"/>
      <c r="J144" s="262"/>
      <c r="K144" s="264"/>
      <c r="L144" s="264"/>
      <c r="M144" s="264"/>
      <c r="N144" s="264"/>
      <c r="O144" s="264"/>
      <c r="P144" s="264"/>
      <c r="Q144" s="264"/>
      <c r="R144" s="264"/>
      <c r="S144" s="265">
        <f t="shared" ref="S144:U144" si="122">IF(SUM(K124:K133,K142)&gt;0,SUM(S124:S133,S142)/SUM(COUNTIF(K124:K133,"&gt;0"),COUNTIF(K142,"&gt;0")),0)</f>
        <v>1750</v>
      </c>
      <c r="T144" s="265">
        <f t="shared" si="122"/>
        <v>100</v>
      </c>
      <c r="U144" s="265">
        <f t="shared" si="122"/>
        <v>100</v>
      </c>
      <c r="V144" s="265">
        <f>SUM(V124:V142)/10</f>
        <v>45</v>
      </c>
      <c r="W144" s="265">
        <f>SUM(W124:W142)/8</f>
        <v>76.61474164</v>
      </c>
      <c r="X144" s="265">
        <f t="shared" ref="X144:Y144" si="123">SUM(X124:X142)/10</f>
        <v>68.14589666</v>
      </c>
      <c r="Y144" s="265">
        <f t="shared" si="123"/>
        <v>0</v>
      </c>
    </row>
    <row r="145" ht="14.25" customHeight="1">
      <c r="I145" s="272">
        <v>1069161.0</v>
      </c>
    </row>
    <row r="146" ht="14.25" customHeight="1"/>
    <row r="147" ht="14.25" customHeight="1">
      <c r="B147" s="4" t="s">
        <v>233</v>
      </c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6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</row>
    <row r="148" ht="15.75" customHeight="1">
      <c r="B148" s="150" t="s">
        <v>2</v>
      </c>
      <c r="C148" s="8"/>
      <c r="D148" s="8"/>
      <c r="E148" s="8"/>
      <c r="F148" s="8"/>
      <c r="G148" s="8"/>
      <c r="H148" s="8"/>
      <c r="I148" s="273"/>
      <c r="J148" s="152" t="s">
        <v>3</v>
      </c>
      <c r="K148" s="11"/>
      <c r="L148" s="11"/>
      <c r="M148" s="11"/>
      <c r="N148" s="11"/>
      <c r="O148" s="11"/>
      <c r="P148" s="11"/>
      <c r="Q148" s="11"/>
      <c r="R148" s="12"/>
      <c r="S148" s="152" t="s">
        <v>4</v>
      </c>
      <c r="T148" s="11"/>
      <c r="U148" s="11"/>
      <c r="V148" s="11"/>
      <c r="W148" s="11"/>
      <c r="X148" s="11"/>
      <c r="Y148" s="12"/>
    </row>
    <row r="149" ht="14.25" customHeight="1">
      <c r="B149" s="13"/>
      <c r="I149" s="92"/>
      <c r="J149" s="153" t="s">
        <v>5</v>
      </c>
      <c r="K149" s="154" t="s">
        <v>62</v>
      </c>
      <c r="L149" s="17"/>
      <c r="M149" s="17"/>
      <c r="N149" s="18"/>
      <c r="O149" s="154" t="s">
        <v>63</v>
      </c>
      <c r="P149" s="17"/>
      <c r="Q149" s="17"/>
      <c r="R149" s="18"/>
      <c r="S149" s="154" t="s">
        <v>64</v>
      </c>
      <c r="T149" s="17"/>
      <c r="U149" s="18"/>
      <c r="V149" s="154" t="s">
        <v>9</v>
      </c>
      <c r="W149" s="17"/>
      <c r="X149" s="17"/>
      <c r="Y149" s="18"/>
    </row>
    <row r="150" ht="14.25" customHeight="1">
      <c r="B150" s="19"/>
      <c r="C150" s="20"/>
      <c r="D150" s="20"/>
      <c r="E150" s="20"/>
      <c r="F150" s="20"/>
      <c r="G150" s="20"/>
      <c r="H150" s="20"/>
      <c r="I150" s="21"/>
      <c r="J150" s="22"/>
      <c r="K150" s="155" t="s">
        <v>10</v>
      </c>
      <c r="L150" s="155" t="s">
        <v>11</v>
      </c>
      <c r="M150" s="155" t="s">
        <v>12</v>
      </c>
      <c r="N150" s="155" t="s">
        <v>13</v>
      </c>
      <c r="O150" s="155" t="s">
        <v>10</v>
      </c>
      <c r="P150" s="155" t="s">
        <v>11</v>
      </c>
      <c r="Q150" s="155" t="s">
        <v>12</v>
      </c>
      <c r="R150" s="155" t="s">
        <v>13</v>
      </c>
      <c r="S150" s="155" t="s">
        <v>10</v>
      </c>
      <c r="T150" s="155" t="s">
        <v>11</v>
      </c>
      <c r="U150" s="155" t="s">
        <v>12</v>
      </c>
      <c r="V150" s="155" t="s">
        <v>10</v>
      </c>
      <c r="W150" s="155" t="s">
        <v>11</v>
      </c>
      <c r="X150" s="155" t="s">
        <v>12</v>
      </c>
      <c r="Y150" s="155" t="s">
        <v>13</v>
      </c>
    </row>
    <row r="151" ht="14.25" customHeight="1">
      <c r="B151" s="157">
        <v>-1.0</v>
      </c>
      <c r="C151" s="27"/>
      <c r="D151" s="27"/>
      <c r="E151" s="27"/>
      <c r="F151" s="27"/>
      <c r="G151" s="27"/>
      <c r="H151" s="27"/>
      <c r="I151" s="274"/>
      <c r="J151" s="158">
        <v>-2.0</v>
      </c>
      <c r="K151" s="158">
        <v>-3.0</v>
      </c>
      <c r="L151" s="158">
        <v>-4.0</v>
      </c>
      <c r="M151" s="158">
        <v>-5.0</v>
      </c>
      <c r="N151" s="158">
        <v>-6.0</v>
      </c>
      <c r="O151" s="158">
        <v>-7.0</v>
      </c>
      <c r="P151" s="158">
        <v>-8.0</v>
      </c>
      <c r="Q151" s="158">
        <v>-9.0</v>
      </c>
      <c r="R151" s="158">
        <v>-10.0</v>
      </c>
      <c r="S151" s="158">
        <v>-11.0</v>
      </c>
      <c r="T151" s="158">
        <v>-12.0</v>
      </c>
      <c r="U151" s="158">
        <v>-13.0</v>
      </c>
      <c r="V151" s="158">
        <v>-14.0</v>
      </c>
      <c r="W151" s="158">
        <v>-15.0</v>
      </c>
      <c r="X151" s="158">
        <v>-16.0</v>
      </c>
      <c r="Y151" s="158">
        <v>-17.0</v>
      </c>
    </row>
    <row r="152" ht="14.25" customHeight="1">
      <c r="B152" s="35"/>
      <c r="C152" s="35"/>
      <c r="D152" s="35"/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  <c r="S152" s="35"/>
      <c r="T152" s="35"/>
      <c r="U152" s="35"/>
      <c r="V152" s="35"/>
      <c r="W152" s="35"/>
      <c r="X152" s="35"/>
      <c r="Y152" s="35"/>
    </row>
    <row r="153" ht="14.25" customHeight="1">
      <c r="B153" s="39" t="s">
        <v>234</v>
      </c>
      <c r="C153" s="39"/>
      <c r="D153" s="77"/>
      <c r="E153" s="77"/>
      <c r="F153" s="77"/>
      <c r="G153" s="77"/>
      <c r="H153" s="77"/>
      <c r="I153" s="159">
        <v>10.0</v>
      </c>
      <c r="J153" s="103" t="s">
        <v>85</v>
      </c>
      <c r="K153" s="39">
        <f t="shared" ref="K153:P153" si="124">SUM(K154:K155)</f>
        <v>0</v>
      </c>
      <c r="L153" s="39">
        <f t="shared" si="124"/>
        <v>0</v>
      </c>
      <c r="M153" s="60">
        <f t="shared" si="124"/>
        <v>0</v>
      </c>
      <c r="N153" s="160">
        <f t="shared" si="124"/>
        <v>10</v>
      </c>
      <c r="O153" s="62">
        <f t="shared" si="124"/>
        <v>0</v>
      </c>
      <c r="P153" s="39">
        <f t="shared" si="124"/>
        <v>0</v>
      </c>
      <c r="Q153" s="275">
        <v>0.0</v>
      </c>
      <c r="R153" s="39"/>
      <c r="S153" s="46">
        <f t="shared" ref="S153:U153" si="125">IF(K153=0,0,IF((O153/K153*100)&gt;120,120,O153/K153*100))</f>
        <v>0</v>
      </c>
      <c r="T153" s="46">
        <f t="shared" si="125"/>
        <v>0</v>
      </c>
      <c r="U153" s="46">
        <f t="shared" si="125"/>
        <v>0</v>
      </c>
      <c r="V153" s="46">
        <f t="shared" ref="V153:Y153" si="126">IF($N153=0,0,IF((O153/$N153*100)&gt;120,120,O153/$N153*100))</f>
        <v>0</v>
      </c>
      <c r="W153" s="46">
        <f t="shared" si="126"/>
        <v>0</v>
      </c>
      <c r="X153" s="46">
        <f t="shared" si="126"/>
        <v>0</v>
      </c>
      <c r="Y153" s="46">
        <f t="shared" si="126"/>
        <v>0</v>
      </c>
    </row>
    <row r="154" ht="14.25" customHeight="1">
      <c r="B154" s="39"/>
      <c r="C154" s="109" t="s">
        <v>235</v>
      </c>
      <c r="D154" s="77"/>
      <c r="E154" s="77"/>
      <c r="F154" s="77"/>
      <c r="G154" s="77"/>
      <c r="H154" s="77"/>
      <c r="I154" s="159">
        <v>3.0</v>
      </c>
      <c r="J154" s="110" t="s">
        <v>87</v>
      </c>
      <c r="K154" s="42">
        <v>0.0</v>
      </c>
      <c r="L154" s="42">
        <v>0.0</v>
      </c>
      <c r="M154" s="42">
        <v>0.0</v>
      </c>
      <c r="N154" s="42">
        <v>3.0</v>
      </c>
      <c r="O154" s="42">
        <v>0.0</v>
      </c>
      <c r="P154" s="42">
        <v>0.0</v>
      </c>
      <c r="Q154" s="253">
        <v>0.0</v>
      </c>
      <c r="R154" s="42"/>
      <c r="S154" s="46">
        <f t="shared" ref="S154:U154" si="127">IF(K154=0,0,IF((O154/K154*100)&gt;120,120,O154/K154*100))</f>
        <v>0</v>
      </c>
      <c r="T154" s="46">
        <f t="shared" si="127"/>
        <v>0</v>
      </c>
      <c r="U154" s="46">
        <f t="shared" si="127"/>
        <v>0</v>
      </c>
      <c r="V154" s="46">
        <f t="shared" ref="V154:Y154" si="128">IF($N154=0,0,IF((O154/$N154*100)&gt;120,120,O154/$N154*100))</f>
        <v>0</v>
      </c>
      <c r="W154" s="46">
        <f t="shared" si="128"/>
        <v>0</v>
      </c>
      <c r="X154" s="46">
        <f t="shared" si="128"/>
        <v>0</v>
      </c>
      <c r="Y154" s="46">
        <f t="shared" si="128"/>
        <v>0</v>
      </c>
    </row>
    <row r="155" ht="14.25" customHeight="1">
      <c r="B155" s="39"/>
      <c r="C155" s="109" t="s">
        <v>236</v>
      </c>
      <c r="D155" s="77"/>
      <c r="E155" s="77"/>
      <c r="F155" s="77"/>
      <c r="G155" s="77"/>
      <c r="H155" s="77"/>
      <c r="I155" s="159">
        <v>7.0</v>
      </c>
      <c r="J155" s="110" t="s">
        <v>66</v>
      </c>
      <c r="K155" s="42">
        <v>0.0</v>
      </c>
      <c r="L155" s="42">
        <v>0.0</v>
      </c>
      <c r="M155" s="42">
        <v>0.0</v>
      </c>
      <c r="N155" s="42">
        <v>7.0</v>
      </c>
      <c r="O155" s="42">
        <v>0.0</v>
      </c>
      <c r="P155" s="42">
        <v>0.0</v>
      </c>
      <c r="Q155" s="253">
        <v>0.0</v>
      </c>
      <c r="R155" s="42"/>
      <c r="S155" s="46">
        <f t="shared" ref="S155:U155" si="129">IF(K155=0,0,IF((O155/K155*100)&gt;120,120,O155/K155*100))</f>
        <v>0</v>
      </c>
      <c r="T155" s="46">
        <f t="shared" si="129"/>
        <v>0</v>
      </c>
      <c r="U155" s="46">
        <f t="shared" si="129"/>
        <v>0</v>
      </c>
      <c r="V155" s="46">
        <f t="shared" ref="V155:Y155" si="130">IF($N155=0,0,IF((O155/$N155*100)&gt;120,120,O155/$N155*100))</f>
        <v>0</v>
      </c>
      <c r="W155" s="46">
        <f t="shared" si="130"/>
        <v>0</v>
      </c>
      <c r="X155" s="46">
        <f t="shared" si="130"/>
        <v>0</v>
      </c>
      <c r="Y155" s="46">
        <f t="shared" si="130"/>
        <v>0</v>
      </c>
    </row>
    <row r="156" ht="14.25" customHeight="1">
      <c r="B156" s="39" t="s">
        <v>237</v>
      </c>
      <c r="C156" s="39"/>
      <c r="D156" s="77"/>
      <c r="E156" s="77"/>
      <c r="F156" s="77"/>
      <c r="G156" s="77"/>
      <c r="H156" s="77"/>
      <c r="I156" s="159">
        <v>8.0</v>
      </c>
      <c r="J156" s="103" t="s">
        <v>85</v>
      </c>
      <c r="K156" s="39">
        <f t="shared" ref="K156:P156" si="131">SUM(K157:K158)</f>
        <v>0</v>
      </c>
      <c r="L156" s="39">
        <f t="shared" si="131"/>
        <v>0</v>
      </c>
      <c r="M156" s="60">
        <f t="shared" si="131"/>
        <v>0</v>
      </c>
      <c r="N156" s="160">
        <f t="shared" si="131"/>
        <v>8</v>
      </c>
      <c r="O156" s="62">
        <f t="shared" si="131"/>
        <v>0</v>
      </c>
      <c r="P156" s="39">
        <f t="shared" si="131"/>
        <v>0</v>
      </c>
      <c r="Q156" s="275">
        <v>0.0</v>
      </c>
      <c r="R156" s="39"/>
      <c r="S156" s="46">
        <f t="shared" ref="S156:U156" si="132">IF(K156=0,0,IF((O156/K156*100)&gt;120,120,O156/K156*100))</f>
        <v>0</v>
      </c>
      <c r="T156" s="46">
        <f t="shared" si="132"/>
        <v>0</v>
      </c>
      <c r="U156" s="46">
        <f t="shared" si="132"/>
        <v>0</v>
      </c>
      <c r="V156" s="46">
        <f t="shared" ref="V156:Y156" si="133">IF($N156=0,0,IF((O156/$N156*100)&gt;120,120,O156/$N156*100))</f>
        <v>0</v>
      </c>
      <c r="W156" s="46">
        <f t="shared" si="133"/>
        <v>0</v>
      </c>
      <c r="X156" s="46">
        <f t="shared" si="133"/>
        <v>0</v>
      </c>
      <c r="Y156" s="46">
        <f t="shared" si="133"/>
        <v>0</v>
      </c>
    </row>
    <row r="157" ht="14.25" customHeight="1">
      <c r="B157" s="39"/>
      <c r="C157" s="109" t="s">
        <v>238</v>
      </c>
      <c r="D157" s="77"/>
      <c r="E157" s="77"/>
      <c r="F157" s="77"/>
      <c r="G157" s="77"/>
      <c r="H157" s="77"/>
      <c r="I157" s="159">
        <v>1.0</v>
      </c>
      <c r="J157" s="110" t="s">
        <v>87</v>
      </c>
      <c r="K157" s="42">
        <v>0.0</v>
      </c>
      <c r="L157" s="42">
        <v>0.0</v>
      </c>
      <c r="M157" s="42">
        <v>0.0</v>
      </c>
      <c r="N157" s="42">
        <v>1.0</v>
      </c>
      <c r="O157" s="42">
        <v>0.0</v>
      </c>
      <c r="P157" s="42">
        <v>0.0</v>
      </c>
      <c r="Q157" s="253">
        <v>0.0</v>
      </c>
      <c r="R157" s="42"/>
      <c r="S157" s="46">
        <f t="shared" ref="S157:U157" si="134">IF(K157=0,0,IF((O157/K157*100)&gt;120,120,O157/K157*100))</f>
        <v>0</v>
      </c>
      <c r="T157" s="46">
        <f t="shared" si="134"/>
        <v>0</v>
      </c>
      <c r="U157" s="46">
        <f t="shared" si="134"/>
        <v>0</v>
      </c>
      <c r="V157" s="46">
        <f t="shared" ref="V157:Y157" si="135">IF($N157=0,0,IF((O157/$N157*100)&gt;120,120,O157/$N157*100))</f>
        <v>0</v>
      </c>
      <c r="W157" s="46">
        <f t="shared" si="135"/>
        <v>0</v>
      </c>
      <c r="X157" s="46">
        <f t="shared" si="135"/>
        <v>0</v>
      </c>
      <c r="Y157" s="46">
        <f t="shared" si="135"/>
        <v>0</v>
      </c>
    </row>
    <row r="158" ht="14.25" customHeight="1">
      <c r="B158" s="39"/>
      <c r="C158" s="109" t="s">
        <v>239</v>
      </c>
      <c r="D158" s="77"/>
      <c r="E158" s="77"/>
      <c r="F158" s="77"/>
      <c r="G158" s="77"/>
      <c r="H158" s="77"/>
      <c r="I158" s="159">
        <v>7.0</v>
      </c>
      <c r="J158" s="110" t="s">
        <v>66</v>
      </c>
      <c r="K158" s="42">
        <v>0.0</v>
      </c>
      <c r="L158" s="42">
        <v>0.0</v>
      </c>
      <c r="M158" s="42">
        <v>0.0</v>
      </c>
      <c r="N158" s="42">
        <v>7.0</v>
      </c>
      <c r="O158" s="42">
        <v>0.0</v>
      </c>
      <c r="P158" s="42">
        <v>0.0</v>
      </c>
      <c r="Q158" s="253">
        <v>0.0</v>
      </c>
      <c r="R158" s="42"/>
      <c r="S158" s="46">
        <f t="shared" ref="S158:U158" si="136">IF(K158=0,0,IF((O158/K158*100)&gt;120,120,O158/K158*100))</f>
        <v>0</v>
      </c>
      <c r="T158" s="46">
        <f t="shared" si="136"/>
        <v>0</v>
      </c>
      <c r="U158" s="46">
        <f t="shared" si="136"/>
        <v>0</v>
      </c>
      <c r="V158" s="46">
        <f t="shared" ref="V158:Y158" si="137">IF($N158=0,0,IF((O158/$N158*100)&gt;120,120,O158/$N158*100))</f>
        <v>0</v>
      </c>
      <c r="W158" s="46">
        <f t="shared" si="137"/>
        <v>0</v>
      </c>
      <c r="X158" s="46">
        <f t="shared" si="137"/>
        <v>0</v>
      </c>
      <c r="Y158" s="46">
        <f t="shared" si="137"/>
        <v>0</v>
      </c>
    </row>
    <row r="159" ht="14.25" customHeight="1">
      <c r="B159" s="39" t="s">
        <v>240</v>
      </c>
      <c r="C159" s="39"/>
      <c r="D159" s="77"/>
      <c r="E159" s="77"/>
      <c r="F159" s="77"/>
      <c r="G159" s="77"/>
      <c r="H159" s="77"/>
      <c r="I159" s="159"/>
      <c r="J159" s="103" t="s">
        <v>87</v>
      </c>
      <c r="K159" s="42">
        <v>0.0</v>
      </c>
      <c r="L159" s="42">
        <v>0.0</v>
      </c>
      <c r="M159" s="42">
        <v>0.0</v>
      </c>
      <c r="N159" s="42">
        <v>0.0</v>
      </c>
      <c r="O159" s="42">
        <v>0.0</v>
      </c>
      <c r="P159" s="42">
        <v>0.0</v>
      </c>
      <c r="Q159" s="253">
        <v>0.0</v>
      </c>
      <c r="R159" s="42"/>
      <c r="S159" s="46">
        <f t="shared" ref="S159:U159" si="138">IF(K159=0,0,IF((O159/K159*100)&gt;120,120,O159/K159*100))</f>
        <v>0</v>
      </c>
      <c r="T159" s="46">
        <f t="shared" si="138"/>
        <v>0</v>
      </c>
      <c r="U159" s="46">
        <f t="shared" si="138"/>
        <v>0</v>
      </c>
      <c r="V159" s="46">
        <f t="shared" ref="V159:Y159" si="139">IF($N159=0,0,IF((O159/$N159*100)&gt;120,120,O159/$N159*100))</f>
        <v>0</v>
      </c>
      <c r="W159" s="46">
        <f t="shared" si="139"/>
        <v>0</v>
      </c>
      <c r="X159" s="46">
        <f t="shared" si="139"/>
        <v>0</v>
      </c>
      <c r="Y159" s="46">
        <f t="shared" si="139"/>
        <v>0</v>
      </c>
    </row>
    <row r="160" ht="14.25" customHeight="1">
      <c r="B160" s="39" t="s">
        <v>241</v>
      </c>
      <c r="C160" s="39"/>
      <c r="D160" s="77"/>
      <c r="E160" s="77"/>
      <c r="F160" s="77"/>
      <c r="G160" s="77"/>
      <c r="H160" s="77"/>
      <c r="I160" s="159">
        <v>2.0</v>
      </c>
      <c r="J160" s="103" t="s">
        <v>95</v>
      </c>
      <c r="K160" s="42">
        <v>1.0</v>
      </c>
      <c r="L160" s="42">
        <v>1.0</v>
      </c>
      <c r="M160" s="42">
        <v>1.0</v>
      </c>
      <c r="N160" s="42">
        <v>2.0</v>
      </c>
      <c r="O160" s="42">
        <v>1.0</v>
      </c>
      <c r="P160" s="42">
        <v>1.0</v>
      </c>
      <c r="Q160" s="253">
        <v>1.0</v>
      </c>
      <c r="R160" s="42"/>
      <c r="S160" s="46">
        <f t="shared" ref="S160:U160" si="140">IF(K160=0,0,IF((O160/K160*100)&gt;120,120,O160/K160*100))</f>
        <v>100</v>
      </c>
      <c r="T160" s="46">
        <f t="shared" si="140"/>
        <v>100</v>
      </c>
      <c r="U160" s="46">
        <f t="shared" si="140"/>
        <v>100</v>
      </c>
      <c r="V160" s="46">
        <f t="shared" ref="V160:Y160" si="141">IF($N160=0,0,IF((O160/$N160*100)&gt;120,120,O160/$N160*100))</f>
        <v>50</v>
      </c>
      <c r="W160" s="46">
        <f t="shared" si="141"/>
        <v>50</v>
      </c>
      <c r="X160" s="46">
        <f t="shared" si="141"/>
        <v>50</v>
      </c>
      <c r="Y160" s="46">
        <f t="shared" si="141"/>
        <v>0</v>
      </c>
    </row>
    <row r="161" ht="14.25" customHeight="1">
      <c r="B161" s="39" t="s">
        <v>242</v>
      </c>
      <c r="C161" s="39"/>
      <c r="D161" s="77"/>
      <c r="E161" s="77"/>
      <c r="F161" s="77"/>
      <c r="G161" s="77"/>
      <c r="H161" s="77"/>
      <c r="I161" s="159"/>
      <c r="J161" s="103" t="s">
        <v>35</v>
      </c>
      <c r="K161" s="254">
        <f t="shared" ref="K161:Q161" si="142">IF($I162+$I167+$I173=0,0,AVERAGE(IF($I162&gt;0,K162/$I162*100,0),IF($I167&gt;0,K167/$I167*100,0),IF($I173&gt;0,K173/$I173*100,0)))</f>
        <v>22.79152877</v>
      </c>
      <c r="L161" s="254">
        <f t="shared" si="142"/>
        <v>44.77199518</v>
      </c>
      <c r="M161" s="254">
        <f t="shared" si="142"/>
        <v>68.48701986</v>
      </c>
      <c r="N161" s="254">
        <f t="shared" si="142"/>
        <v>100</v>
      </c>
      <c r="O161" s="254">
        <f t="shared" si="142"/>
        <v>20.679112</v>
      </c>
      <c r="P161" s="254">
        <f t="shared" si="142"/>
        <v>36.84387347</v>
      </c>
      <c r="Q161" s="254">
        <f t="shared" si="142"/>
        <v>61.12777</v>
      </c>
      <c r="R161" s="254"/>
      <c r="S161" s="46">
        <f t="shared" ref="S161:U161" si="143">IF(K161=0,0,IF((O161/K161*100)&gt;120,120,O161/K161*100))</f>
        <v>90.7315705</v>
      </c>
      <c r="T161" s="46">
        <f t="shared" si="143"/>
        <v>82.29223048</v>
      </c>
      <c r="U161" s="46">
        <f t="shared" si="143"/>
        <v>89.25453338</v>
      </c>
      <c r="V161" s="46">
        <f t="shared" ref="V161:Y161" si="144">IF($N161=0,0,IF((O161/$N161*100)&gt;120,120,O161/$N161*100))</f>
        <v>20.679112</v>
      </c>
      <c r="W161" s="46">
        <f t="shared" si="144"/>
        <v>36.84387347</v>
      </c>
      <c r="X161" s="46">
        <f t="shared" si="144"/>
        <v>61.12777</v>
      </c>
      <c r="Y161" s="46">
        <f t="shared" si="144"/>
        <v>0</v>
      </c>
    </row>
    <row r="162" ht="14.25" customHeight="1">
      <c r="B162" s="39"/>
      <c r="C162" s="109" t="s">
        <v>243</v>
      </c>
      <c r="D162" s="77"/>
      <c r="E162" s="77"/>
      <c r="F162" s="77"/>
      <c r="G162" s="77"/>
      <c r="H162" s="77"/>
      <c r="I162" s="42">
        <f>I163+I164</f>
        <v>2507</v>
      </c>
      <c r="J162" s="110" t="s">
        <v>98</v>
      </c>
      <c r="K162" s="276">
        <f t="shared" ref="K162:Q162" si="145">K163+K164</f>
        <v>556</v>
      </c>
      <c r="L162" s="276">
        <f t="shared" si="145"/>
        <v>1051</v>
      </c>
      <c r="M162" s="276">
        <f t="shared" si="145"/>
        <v>1700</v>
      </c>
      <c r="N162" s="276">
        <f t="shared" si="145"/>
        <v>2507</v>
      </c>
      <c r="O162" s="276">
        <f t="shared" si="145"/>
        <v>549</v>
      </c>
      <c r="P162" s="276">
        <f t="shared" si="145"/>
        <v>958</v>
      </c>
      <c r="Q162" s="253">
        <f t="shared" si="145"/>
        <v>1380</v>
      </c>
      <c r="R162" s="42"/>
      <c r="S162" s="111"/>
      <c r="T162" s="111"/>
      <c r="U162" s="111"/>
      <c r="V162" s="111"/>
      <c r="W162" s="111"/>
      <c r="X162" s="111"/>
      <c r="Y162" s="111"/>
    </row>
    <row r="163" ht="14.25" customHeight="1">
      <c r="B163" s="39"/>
      <c r="C163" s="109"/>
      <c r="D163" s="77" t="s">
        <v>244</v>
      </c>
      <c r="E163" s="77"/>
      <c r="F163" s="77"/>
      <c r="G163" s="77"/>
      <c r="H163" s="77">
        <f>N162+N167+N173</f>
        <v>19943</v>
      </c>
      <c r="I163" s="42">
        <f t="shared" ref="I163:I164" si="146">N163</f>
        <v>1598</v>
      </c>
      <c r="J163" s="277" t="s">
        <v>98</v>
      </c>
      <c r="K163" s="278">
        <v>349.0</v>
      </c>
      <c r="L163" s="278">
        <v>665.0</v>
      </c>
      <c r="M163" s="278">
        <v>1100.0</v>
      </c>
      <c r="N163" s="278">
        <v>1598.0</v>
      </c>
      <c r="O163" s="279">
        <v>359.0</v>
      </c>
      <c r="P163" s="42">
        <v>588.0</v>
      </c>
      <c r="Q163" s="253">
        <v>864.0</v>
      </c>
      <c r="R163" s="42"/>
      <c r="S163" s="111"/>
      <c r="T163" s="111"/>
      <c r="U163" s="111"/>
      <c r="V163" s="111"/>
      <c r="W163" s="111"/>
      <c r="X163" s="111"/>
      <c r="Y163" s="111"/>
    </row>
    <row r="164" ht="14.25" customHeight="1">
      <c r="B164" s="39"/>
      <c r="C164" s="109"/>
      <c r="D164" s="77" t="s">
        <v>245</v>
      </c>
      <c r="E164" s="77"/>
      <c r="F164" s="77"/>
      <c r="G164" s="77"/>
      <c r="H164" s="77">
        <f>I162+I167+I173</f>
        <v>19943</v>
      </c>
      <c r="I164" s="42">
        <f t="shared" si="146"/>
        <v>909</v>
      </c>
      <c r="J164" s="277" t="s">
        <v>98</v>
      </c>
      <c r="K164" s="253">
        <v>207.0</v>
      </c>
      <c r="L164" s="42">
        <f>K164+179</f>
        <v>386</v>
      </c>
      <c r="M164" s="42">
        <f>L164+214</f>
        <v>600</v>
      </c>
      <c r="N164" s="42">
        <f>M164+309</f>
        <v>909</v>
      </c>
      <c r="O164" s="279">
        <v>190.0</v>
      </c>
      <c r="P164" s="253">
        <v>370.0</v>
      </c>
      <c r="Q164" s="253">
        <v>516.0</v>
      </c>
      <c r="R164" s="42"/>
      <c r="S164" s="111"/>
      <c r="T164" s="111"/>
      <c r="U164" s="111"/>
      <c r="V164" s="111"/>
      <c r="W164" s="111"/>
      <c r="X164" s="111"/>
      <c r="Y164" s="111"/>
    </row>
    <row r="165" ht="14.25" customHeight="1">
      <c r="B165" s="39"/>
      <c r="C165" s="109"/>
      <c r="D165" s="77" t="s">
        <v>246</v>
      </c>
      <c r="E165" s="77"/>
      <c r="F165" s="77"/>
      <c r="G165" s="77"/>
      <c r="H165" s="77">
        <f>H163/H164*100</f>
        <v>100</v>
      </c>
      <c r="I165" s="42"/>
      <c r="J165" s="110" t="s">
        <v>98</v>
      </c>
      <c r="K165" s="280"/>
      <c r="L165" s="280"/>
      <c r="M165" s="280"/>
      <c r="N165" s="280"/>
      <c r="O165" s="42"/>
      <c r="P165" s="42"/>
      <c r="Q165" s="42"/>
      <c r="R165" s="42"/>
      <c r="S165" s="111"/>
      <c r="T165" s="111"/>
      <c r="U165" s="111"/>
      <c r="V165" s="111"/>
      <c r="W165" s="111"/>
      <c r="X165" s="111"/>
      <c r="Y165" s="111"/>
    </row>
    <row r="166" ht="14.25" customHeight="1">
      <c r="B166" s="39"/>
      <c r="C166" s="109"/>
      <c r="D166" s="77" t="s">
        <v>246</v>
      </c>
      <c r="E166" s="77"/>
      <c r="F166" s="77"/>
      <c r="G166" s="77"/>
      <c r="H166" s="77"/>
      <c r="I166" s="42"/>
      <c r="J166" s="110" t="s">
        <v>98</v>
      </c>
      <c r="K166" s="42"/>
      <c r="L166" s="42"/>
      <c r="M166" s="42"/>
      <c r="N166" s="42"/>
      <c r="O166" s="42"/>
      <c r="P166" s="42"/>
      <c r="Q166" s="42"/>
      <c r="R166" s="42"/>
      <c r="S166" s="111"/>
      <c r="T166" s="111"/>
      <c r="U166" s="111"/>
      <c r="V166" s="111"/>
      <c r="W166" s="111"/>
      <c r="X166" s="111"/>
      <c r="Y166" s="111"/>
    </row>
    <row r="167" ht="14.25" customHeight="1">
      <c r="B167" s="39"/>
      <c r="C167" s="109" t="s">
        <v>247</v>
      </c>
      <c r="D167" s="77"/>
      <c r="E167" s="77"/>
      <c r="F167" s="77"/>
      <c r="G167" s="77"/>
      <c r="H167" s="77"/>
      <c r="I167" s="42">
        <f>SUM(I168:I171)</f>
        <v>815</v>
      </c>
      <c r="J167" s="110" t="s">
        <v>98</v>
      </c>
      <c r="K167" s="42">
        <f t="shared" ref="K167:P167" si="147">SUM(K168:K171)</f>
        <v>171</v>
      </c>
      <c r="L167" s="42">
        <f t="shared" si="147"/>
        <v>342</v>
      </c>
      <c r="M167" s="42">
        <f t="shared" si="147"/>
        <v>528</v>
      </c>
      <c r="N167" s="42">
        <f t="shared" si="147"/>
        <v>815</v>
      </c>
      <c r="O167" s="42">
        <f t="shared" si="147"/>
        <v>123</v>
      </c>
      <c r="P167" s="42">
        <f t="shared" si="147"/>
        <v>183</v>
      </c>
      <c r="Q167" s="42">
        <f>sum(Q168:Q171)</f>
        <v>462</v>
      </c>
      <c r="R167" s="42"/>
      <c r="S167" s="111"/>
      <c r="T167" s="111"/>
      <c r="U167" s="111"/>
      <c r="V167" s="111"/>
      <c r="W167" s="111"/>
      <c r="X167" s="111"/>
      <c r="Y167" s="111"/>
    </row>
    <row r="168" ht="14.25" customHeight="1">
      <c r="B168" s="39"/>
      <c r="C168" s="109"/>
      <c r="D168" s="77" t="s">
        <v>248</v>
      </c>
      <c r="E168" s="77"/>
      <c r="F168" s="77"/>
      <c r="G168" s="77"/>
      <c r="H168" s="77"/>
      <c r="I168" s="42">
        <v>211.0</v>
      </c>
      <c r="J168" s="110" t="s">
        <v>98</v>
      </c>
      <c r="K168" s="42">
        <v>52.0</v>
      </c>
      <c r="L168" s="42">
        <v>104.0</v>
      </c>
      <c r="M168" s="42">
        <v>156.0</v>
      </c>
      <c r="N168" s="42">
        <v>211.0</v>
      </c>
      <c r="O168" s="42">
        <v>49.0</v>
      </c>
      <c r="P168" s="42">
        <v>99.0</v>
      </c>
      <c r="Q168" s="253">
        <v>153.0</v>
      </c>
      <c r="R168" s="42"/>
      <c r="S168" s="111"/>
      <c r="T168" s="111"/>
      <c r="U168" s="111"/>
      <c r="V168" s="111"/>
      <c r="W168" s="111"/>
      <c r="X168" s="111"/>
      <c r="Y168" s="111"/>
    </row>
    <row r="169" ht="14.25" customHeight="1">
      <c r="B169" s="39"/>
      <c r="C169" s="109"/>
      <c r="D169" s="77" t="s">
        <v>249</v>
      </c>
      <c r="E169" s="77"/>
      <c r="F169" s="77"/>
      <c r="G169" s="77"/>
      <c r="H169" s="77"/>
      <c r="I169" s="42">
        <v>20.0</v>
      </c>
      <c r="J169" s="110" t="s">
        <v>98</v>
      </c>
      <c r="K169" s="42">
        <v>5.0</v>
      </c>
      <c r="L169" s="42">
        <v>10.0</v>
      </c>
      <c r="M169" s="42">
        <v>15.0</v>
      </c>
      <c r="N169" s="42">
        <v>20.0</v>
      </c>
      <c r="O169" s="42">
        <v>5.0</v>
      </c>
      <c r="P169" s="42">
        <v>10.0</v>
      </c>
      <c r="Q169" s="253">
        <v>15.0</v>
      </c>
      <c r="R169" s="42"/>
      <c r="S169" s="111"/>
      <c r="T169" s="111"/>
      <c r="U169" s="111"/>
      <c r="V169" s="111"/>
      <c r="W169" s="111"/>
      <c r="X169" s="111"/>
      <c r="Y169" s="111"/>
    </row>
    <row r="170" ht="14.25" customHeight="1">
      <c r="B170" s="39"/>
      <c r="C170" s="109"/>
      <c r="D170" s="77" t="s">
        <v>250</v>
      </c>
      <c r="E170" s="77"/>
      <c r="F170" s="77"/>
      <c r="G170" s="77"/>
      <c r="H170" s="77"/>
      <c r="I170" s="42">
        <v>20.0</v>
      </c>
      <c r="J170" s="110" t="s">
        <v>98</v>
      </c>
      <c r="K170" s="42">
        <v>1.0</v>
      </c>
      <c r="L170" s="42">
        <v>2.0</v>
      </c>
      <c r="M170" s="42">
        <v>19.0</v>
      </c>
      <c r="N170" s="42">
        <v>20.0</v>
      </c>
      <c r="O170" s="42">
        <v>1.0</v>
      </c>
      <c r="P170" s="42">
        <v>1.0</v>
      </c>
      <c r="Q170" s="253">
        <v>17.0</v>
      </c>
      <c r="R170" s="42"/>
      <c r="S170" s="111"/>
      <c r="T170" s="111"/>
      <c r="U170" s="111"/>
      <c r="V170" s="111"/>
      <c r="W170" s="111"/>
      <c r="X170" s="111"/>
      <c r="Y170" s="111"/>
    </row>
    <row r="171" ht="14.25" customHeight="1">
      <c r="B171" s="39"/>
      <c r="C171" s="109"/>
      <c r="D171" s="77" t="s">
        <v>251</v>
      </c>
      <c r="E171" s="77"/>
      <c r="F171" s="77"/>
      <c r="G171" s="77"/>
      <c r="H171" s="77"/>
      <c r="I171" s="42">
        <v>564.0</v>
      </c>
      <c r="J171" s="110" t="s">
        <v>98</v>
      </c>
      <c r="K171" s="42">
        <v>113.0</v>
      </c>
      <c r="L171" s="42">
        <v>226.0</v>
      </c>
      <c r="M171" s="42">
        <v>338.0</v>
      </c>
      <c r="N171" s="42">
        <v>564.0</v>
      </c>
      <c r="O171" s="42">
        <v>68.0</v>
      </c>
      <c r="P171" s="42">
        <v>73.0</v>
      </c>
      <c r="Q171" s="253">
        <v>277.0</v>
      </c>
      <c r="R171" s="42"/>
      <c r="S171" s="111"/>
      <c r="T171" s="111"/>
      <c r="U171" s="111"/>
      <c r="V171" s="111"/>
      <c r="W171" s="111"/>
      <c r="X171" s="111"/>
      <c r="Y171" s="111"/>
    </row>
    <row r="172" ht="14.25" customHeight="1">
      <c r="B172" s="39"/>
      <c r="C172" s="109"/>
      <c r="D172" s="77" t="s">
        <v>252</v>
      </c>
      <c r="E172" s="77"/>
      <c r="F172" s="77"/>
      <c r="G172" s="77"/>
      <c r="H172" s="77"/>
      <c r="I172" s="281"/>
      <c r="J172" s="110" t="s">
        <v>98</v>
      </c>
      <c r="K172" s="42"/>
      <c r="L172" s="42"/>
      <c r="M172" s="42"/>
      <c r="N172" s="42"/>
      <c r="O172" s="42"/>
      <c r="P172" s="42"/>
      <c r="Q172" s="42"/>
      <c r="R172" s="42"/>
      <c r="S172" s="111"/>
      <c r="T172" s="111"/>
      <c r="U172" s="111"/>
      <c r="V172" s="111"/>
      <c r="W172" s="111"/>
      <c r="X172" s="111"/>
      <c r="Y172" s="111"/>
    </row>
    <row r="173" ht="14.25" customHeight="1">
      <c r="B173" s="39"/>
      <c r="C173" s="109" t="s">
        <v>253</v>
      </c>
      <c r="D173" s="77"/>
      <c r="E173" s="77"/>
      <c r="F173" s="77"/>
      <c r="G173" s="77"/>
      <c r="H173" s="77"/>
      <c r="I173" s="42">
        <f>SUM(I174:I177)</f>
        <v>16621</v>
      </c>
      <c r="J173" s="110" t="s">
        <v>98</v>
      </c>
      <c r="K173" s="42">
        <f t="shared" ref="K173:P173" si="148">SUM(K174:K177)</f>
        <v>4191</v>
      </c>
      <c r="L173" s="42">
        <f t="shared" si="148"/>
        <v>8382</v>
      </c>
      <c r="M173" s="42">
        <f t="shared" si="148"/>
        <v>12111</v>
      </c>
      <c r="N173" s="42">
        <f t="shared" si="148"/>
        <v>16621</v>
      </c>
      <c r="O173" s="42">
        <f t="shared" si="148"/>
        <v>4163</v>
      </c>
      <c r="P173" s="42">
        <f t="shared" si="148"/>
        <v>8288</v>
      </c>
      <c r="Q173" s="42">
        <f>sum(Q174:Q177)</f>
        <v>11909</v>
      </c>
      <c r="R173" s="42"/>
      <c r="S173" s="111"/>
      <c r="T173" s="111"/>
      <c r="U173" s="111"/>
      <c r="V173" s="111"/>
      <c r="W173" s="111"/>
      <c r="X173" s="111"/>
      <c r="Y173" s="111"/>
    </row>
    <row r="174" ht="14.25" customHeight="1">
      <c r="B174" s="39"/>
      <c r="C174" s="109"/>
      <c r="D174" s="77" t="s">
        <v>254</v>
      </c>
      <c r="E174" s="77"/>
      <c r="F174" s="77"/>
      <c r="G174" s="77"/>
      <c r="H174" s="77"/>
      <c r="I174" s="253">
        <v>5556.0</v>
      </c>
      <c r="J174" s="110" t="s">
        <v>98</v>
      </c>
      <c r="K174" s="42">
        <v>1389.0</v>
      </c>
      <c r="L174" s="42">
        <v>2778.0</v>
      </c>
      <c r="M174" s="253">
        <v>3705.0</v>
      </c>
      <c r="N174" s="42">
        <f>463*12</f>
        <v>5556</v>
      </c>
      <c r="O174" s="42">
        <v>1389.0</v>
      </c>
      <c r="P174" s="42">
        <v>2778.0</v>
      </c>
      <c r="Q174" s="253">
        <v>3705.0</v>
      </c>
      <c r="R174" s="42"/>
      <c r="S174" s="111"/>
      <c r="T174" s="111"/>
      <c r="U174" s="111"/>
      <c r="V174" s="111"/>
      <c r="W174" s="111"/>
      <c r="X174" s="111"/>
      <c r="Y174" s="111"/>
    </row>
    <row r="175" ht="14.25" customHeight="1">
      <c r="B175" s="39"/>
      <c r="C175" s="109"/>
      <c r="D175" s="77" t="s">
        <v>255</v>
      </c>
      <c r="E175" s="77"/>
      <c r="F175" s="77"/>
      <c r="G175" s="77"/>
      <c r="H175" s="77"/>
      <c r="I175" s="42">
        <v>6048.0</v>
      </c>
      <c r="J175" s="110" t="s">
        <v>98</v>
      </c>
      <c r="K175" s="42">
        <v>1512.0</v>
      </c>
      <c r="L175" s="42">
        <v>3024.0</v>
      </c>
      <c r="M175" s="42">
        <v>4536.0</v>
      </c>
      <c r="N175" s="42">
        <v>6048.0</v>
      </c>
      <c r="O175" s="42">
        <v>1484.0</v>
      </c>
      <c r="P175" s="42">
        <v>3024.0</v>
      </c>
      <c r="Q175" s="253">
        <v>4502.0</v>
      </c>
      <c r="R175" s="42"/>
      <c r="S175" s="111"/>
      <c r="T175" s="111"/>
      <c r="U175" s="111"/>
      <c r="V175" s="111"/>
      <c r="W175" s="111"/>
      <c r="X175" s="111"/>
      <c r="Y175" s="111"/>
    </row>
    <row r="176" ht="14.25" customHeight="1">
      <c r="B176" s="39"/>
      <c r="C176" s="109"/>
      <c r="D176" s="77" t="s">
        <v>256</v>
      </c>
      <c r="E176" s="77"/>
      <c r="F176" s="77"/>
      <c r="G176" s="77"/>
      <c r="H176" s="77">
        <f>143*9</f>
        <v>1287</v>
      </c>
      <c r="I176" s="42">
        <v>1728.0</v>
      </c>
      <c r="J176" s="110" t="s">
        <v>98</v>
      </c>
      <c r="K176" s="42">
        <v>432.0</v>
      </c>
      <c r="L176" s="42">
        <v>864.0</v>
      </c>
      <c r="M176" s="42">
        <v>1296.0</v>
      </c>
      <c r="N176" s="42">
        <v>1728.0</v>
      </c>
      <c r="O176" s="42">
        <v>432.0</v>
      </c>
      <c r="P176" s="42">
        <v>864.0</v>
      </c>
      <c r="Q176" s="253">
        <v>1269.0</v>
      </c>
      <c r="R176" s="42"/>
      <c r="S176" s="111"/>
      <c r="T176" s="111"/>
      <c r="U176" s="111"/>
      <c r="V176" s="111"/>
      <c r="W176" s="111"/>
      <c r="X176" s="111"/>
      <c r="Y176" s="111"/>
    </row>
    <row r="177" ht="14.25" customHeight="1">
      <c r="B177" s="39"/>
      <c r="C177" s="109"/>
      <c r="D177" s="77" t="s">
        <v>257</v>
      </c>
      <c r="E177" s="77"/>
      <c r="F177" s="77"/>
      <c r="G177" s="77"/>
      <c r="H177" s="77"/>
      <c r="I177" s="42">
        <v>3289.0</v>
      </c>
      <c r="J177" s="110" t="s">
        <v>98</v>
      </c>
      <c r="K177" s="42">
        <v>858.0</v>
      </c>
      <c r="L177" s="42">
        <v>1716.0</v>
      </c>
      <c r="M177" s="42">
        <v>2574.0</v>
      </c>
      <c r="N177" s="42">
        <v>3289.0</v>
      </c>
      <c r="O177" s="42">
        <v>858.0</v>
      </c>
      <c r="P177" s="42">
        <v>1622.0</v>
      </c>
      <c r="Q177" s="253">
        <v>2433.0</v>
      </c>
      <c r="R177" s="42"/>
      <c r="S177" s="111"/>
      <c r="T177" s="111"/>
      <c r="U177" s="111"/>
      <c r="V177" s="111"/>
      <c r="W177" s="111"/>
      <c r="X177" s="111"/>
      <c r="Y177" s="111"/>
    </row>
    <row r="178" ht="14.25" customHeight="1">
      <c r="B178" s="39" t="s">
        <v>258</v>
      </c>
      <c r="C178" s="39"/>
      <c r="D178" s="77"/>
      <c r="E178" s="77"/>
      <c r="F178" s="77"/>
      <c r="G178" s="77"/>
      <c r="H178" s="77"/>
      <c r="I178" s="159">
        <v>15756.0</v>
      </c>
      <c r="J178" s="103" t="s">
        <v>35</v>
      </c>
      <c r="K178" s="258">
        <f t="shared" ref="K178:Q178" si="149">K161</f>
        <v>22.79152877</v>
      </c>
      <c r="L178" s="258">
        <f t="shared" si="149"/>
        <v>44.77199518</v>
      </c>
      <c r="M178" s="258">
        <f t="shared" si="149"/>
        <v>68.48701986</v>
      </c>
      <c r="N178" s="258">
        <f t="shared" si="149"/>
        <v>100</v>
      </c>
      <c r="O178" s="258">
        <f t="shared" si="149"/>
        <v>20.679112</v>
      </c>
      <c r="P178" s="258">
        <f t="shared" si="149"/>
        <v>36.84387347</v>
      </c>
      <c r="Q178" s="258">
        <f t="shared" si="149"/>
        <v>61.12777</v>
      </c>
      <c r="R178" s="42"/>
      <c r="S178" s="46">
        <f t="shared" ref="S178:U178" si="150">IF(K178=0,0,IF((O178/K178*100)&gt;120,120,O178/K178*100))</f>
        <v>90.7315705</v>
      </c>
      <c r="T178" s="46">
        <f t="shared" si="150"/>
        <v>82.29223048</v>
      </c>
      <c r="U178" s="46">
        <f t="shared" si="150"/>
        <v>89.25453338</v>
      </c>
      <c r="V178" s="46">
        <f t="shared" ref="V178:Y178" si="151">IF($N178=0,0,IF((O178/$N178*100)&gt;120,120,O178/$N178*100))</f>
        <v>20.679112</v>
      </c>
      <c r="W178" s="46">
        <f t="shared" si="151"/>
        <v>36.84387347</v>
      </c>
      <c r="X178" s="46">
        <f t="shared" si="151"/>
        <v>61.12777</v>
      </c>
      <c r="Y178" s="46">
        <f t="shared" si="151"/>
        <v>0</v>
      </c>
    </row>
    <row r="179" ht="14.25" customHeight="1">
      <c r="B179" s="77"/>
      <c r="C179" s="77"/>
      <c r="D179" s="77"/>
      <c r="E179" s="77"/>
      <c r="F179" s="77"/>
      <c r="G179" s="77"/>
      <c r="H179" s="77"/>
      <c r="I179" s="77">
        <f>I162+I167+I173</f>
        <v>19943</v>
      </c>
      <c r="J179" s="77"/>
      <c r="K179" s="77"/>
      <c r="L179" s="77"/>
      <c r="M179" s="77"/>
      <c r="N179" s="77"/>
      <c r="O179" s="77"/>
      <c r="P179" s="77"/>
      <c r="Q179" s="135"/>
      <c r="R179" s="77"/>
      <c r="S179" s="77"/>
      <c r="T179" s="77"/>
      <c r="U179" s="77"/>
      <c r="V179" s="77"/>
      <c r="W179" s="77"/>
      <c r="X179" s="77"/>
      <c r="Y179" s="77"/>
    </row>
    <row r="180" ht="14.25" customHeight="1">
      <c r="B180" s="282"/>
      <c r="C180" s="283"/>
      <c r="D180" s="284"/>
      <c r="E180" s="284"/>
      <c r="F180" s="284"/>
      <c r="G180" s="285" t="s">
        <v>259</v>
      </c>
      <c r="H180" s="284"/>
      <c r="I180" s="284"/>
      <c r="J180" s="284"/>
      <c r="K180" s="286"/>
      <c r="L180" s="286"/>
      <c r="M180" s="286"/>
      <c r="N180" s="286"/>
      <c r="O180" s="286"/>
      <c r="P180" s="286"/>
      <c r="Q180" s="286"/>
      <c r="R180" s="286"/>
      <c r="S180" s="287">
        <f t="shared" ref="S180:U180" si="152">IF(SUM(K152:K161,K178)&gt;0,SUM(S152:S161,S178)/SUM(COUNTIF(K152:K161,"&gt;0"),COUNTIF(K178,"&gt;0")),0)</f>
        <v>93.821047</v>
      </c>
      <c r="T180" s="287">
        <f t="shared" si="152"/>
        <v>88.19482032</v>
      </c>
      <c r="U180" s="287">
        <f t="shared" si="152"/>
        <v>92.83635558</v>
      </c>
      <c r="V180" s="287">
        <f t="shared" ref="V180:X180" si="153">SUM(V152:V178)/3</f>
        <v>30.45274133</v>
      </c>
      <c r="W180" s="287">
        <f t="shared" si="153"/>
        <v>41.22924898</v>
      </c>
      <c r="X180" s="287">
        <f t="shared" si="153"/>
        <v>57.41851333</v>
      </c>
      <c r="Y180" s="287">
        <f>SUM(Y152:Y178)/9</f>
        <v>0</v>
      </c>
    </row>
    <row r="181" ht="14.25" customHeight="1"/>
    <row r="182" ht="14.25" customHeight="1"/>
    <row r="183" ht="14.25" customHeight="1">
      <c r="B183" s="4" t="s">
        <v>260</v>
      </c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6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</row>
    <row r="184" ht="15.75" customHeight="1">
      <c r="B184" s="150" t="s">
        <v>2</v>
      </c>
      <c r="C184" s="8"/>
      <c r="D184" s="8"/>
      <c r="E184" s="8"/>
      <c r="F184" s="8"/>
      <c r="G184" s="8"/>
      <c r="H184" s="8"/>
      <c r="I184" s="273"/>
      <c r="J184" s="152" t="s">
        <v>3</v>
      </c>
      <c r="K184" s="11"/>
      <c r="L184" s="11"/>
      <c r="M184" s="11"/>
      <c r="N184" s="11"/>
      <c r="O184" s="11"/>
      <c r="P184" s="11"/>
      <c r="Q184" s="11"/>
      <c r="R184" s="12"/>
      <c r="S184" s="152" t="s">
        <v>4</v>
      </c>
      <c r="T184" s="11"/>
      <c r="U184" s="11"/>
      <c r="V184" s="11"/>
      <c r="W184" s="11"/>
      <c r="X184" s="11"/>
      <c r="Y184" s="12"/>
    </row>
    <row r="185" ht="14.25" customHeight="1">
      <c r="B185" s="13"/>
      <c r="I185" s="92"/>
      <c r="J185" s="153" t="s">
        <v>5</v>
      </c>
      <c r="K185" s="154" t="s">
        <v>62</v>
      </c>
      <c r="L185" s="17"/>
      <c r="M185" s="17"/>
      <c r="N185" s="18"/>
      <c r="O185" s="154" t="s">
        <v>63</v>
      </c>
      <c r="P185" s="17"/>
      <c r="Q185" s="17"/>
      <c r="R185" s="18"/>
      <c r="S185" s="154" t="s">
        <v>64</v>
      </c>
      <c r="T185" s="17"/>
      <c r="U185" s="18"/>
      <c r="V185" s="154" t="s">
        <v>9</v>
      </c>
      <c r="W185" s="17"/>
      <c r="X185" s="17"/>
      <c r="Y185" s="18"/>
    </row>
    <row r="186" ht="14.25" customHeight="1">
      <c r="B186" s="19"/>
      <c r="C186" s="20"/>
      <c r="D186" s="20"/>
      <c r="E186" s="20"/>
      <c r="F186" s="20"/>
      <c r="G186" s="20"/>
      <c r="H186" s="20"/>
      <c r="I186" s="21"/>
      <c r="J186" s="22"/>
      <c r="K186" s="155" t="s">
        <v>10</v>
      </c>
      <c r="L186" s="155" t="s">
        <v>11</v>
      </c>
      <c r="M186" s="155" t="s">
        <v>12</v>
      </c>
      <c r="N186" s="155" t="s">
        <v>13</v>
      </c>
      <c r="O186" s="155" t="s">
        <v>10</v>
      </c>
      <c r="P186" s="155" t="s">
        <v>11</v>
      </c>
      <c r="Q186" s="155" t="s">
        <v>12</v>
      </c>
      <c r="R186" s="155" t="s">
        <v>13</v>
      </c>
      <c r="S186" s="155" t="s">
        <v>10</v>
      </c>
      <c r="T186" s="155" t="s">
        <v>11</v>
      </c>
      <c r="U186" s="155" t="s">
        <v>12</v>
      </c>
      <c r="V186" s="155" t="s">
        <v>10</v>
      </c>
      <c r="W186" s="155" t="s">
        <v>11</v>
      </c>
      <c r="X186" s="155" t="s">
        <v>12</v>
      </c>
      <c r="Y186" s="155" t="s">
        <v>13</v>
      </c>
    </row>
    <row r="187" ht="14.25" customHeight="1">
      <c r="B187" s="157">
        <v>-1.0</v>
      </c>
      <c r="C187" s="27"/>
      <c r="D187" s="27"/>
      <c r="E187" s="27"/>
      <c r="F187" s="27"/>
      <c r="G187" s="27"/>
      <c r="H187" s="27"/>
      <c r="I187" s="274"/>
      <c r="J187" s="158">
        <v>-2.0</v>
      </c>
      <c r="K187" s="158">
        <v>-3.0</v>
      </c>
      <c r="L187" s="158">
        <v>-4.0</v>
      </c>
      <c r="M187" s="158">
        <v>-5.0</v>
      </c>
      <c r="N187" s="158">
        <v>-6.0</v>
      </c>
      <c r="O187" s="158">
        <v>-7.0</v>
      </c>
      <c r="P187" s="158">
        <v>-8.0</v>
      </c>
      <c r="Q187" s="158">
        <v>-9.0</v>
      </c>
      <c r="R187" s="158">
        <v>-10.0</v>
      </c>
      <c r="S187" s="158">
        <v>-11.0</v>
      </c>
      <c r="T187" s="158">
        <v>-12.0</v>
      </c>
      <c r="U187" s="158">
        <v>-13.0</v>
      </c>
      <c r="V187" s="158">
        <v>-14.0</v>
      </c>
      <c r="W187" s="158">
        <v>-15.0</v>
      </c>
      <c r="X187" s="158">
        <v>-16.0</v>
      </c>
      <c r="Y187" s="158">
        <v>-17.0</v>
      </c>
    </row>
    <row r="188" ht="14.25" customHeight="1">
      <c r="B188" s="35"/>
      <c r="C188" s="35"/>
      <c r="D188" s="35"/>
      <c r="E188" s="35"/>
      <c r="F188" s="35"/>
      <c r="G188" s="35"/>
      <c r="H188" s="35"/>
      <c r="I188" s="35"/>
      <c r="J188" s="35"/>
      <c r="K188" s="35"/>
      <c r="L188" s="35"/>
      <c r="M188" s="35"/>
      <c r="N188" s="35"/>
      <c r="O188" s="35"/>
      <c r="P188" s="35"/>
      <c r="Q188" s="35"/>
      <c r="R188" s="35"/>
      <c r="S188" s="35"/>
      <c r="T188" s="35"/>
      <c r="U188" s="35"/>
      <c r="V188" s="35"/>
      <c r="W188" s="35"/>
      <c r="X188" s="35"/>
      <c r="Y188" s="35"/>
    </row>
    <row r="189" ht="14.25" customHeight="1">
      <c r="B189" s="39" t="s">
        <v>261</v>
      </c>
      <c r="C189" s="39"/>
      <c r="D189" s="77"/>
      <c r="E189" s="77"/>
      <c r="F189" s="77"/>
      <c r="G189" s="77"/>
      <c r="H189" s="77"/>
      <c r="I189" s="87">
        <f>I190+I191</f>
        <v>10</v>
      </c>
      <c r="J189" s="103" t="s">
        <v>85</v>
      </c>
      <c r="K189" s="288">
        <f t="shared" ref="K189:O189" si="154">K190+K191</f>
        <v>5</v>
      </c>
      <c r="L189" s="289">
        <f t="shared" si="154"/>
        <v>6</v>
      </c>
      <c r="M189" s="289">
        <f t="shared" si="154"/>
        <v>7</v>
      </c>
      <c r="N189" s="289">
        <f t="shared" si="154"/>
        <v>10</v>
      </c>
      <c r="O189" s="289">
        <f t="shared" si="154"/>
        <v>5</v>
      </c>
      <c r="P189" s="39">
        <v>6.0</v>
      </c>
      <c r="Q189" s="275">
        <v>7.0</v>
      </c>
      <c r="R189" s="275">
        <v>7.0</v>
      </c>
      <c r="S189" s="46">
        <f t="shared" ref="S189:U189" si="155">IF(K189=0,0,IF((O189/K189*100)&gt;120,120,O189/K189*100))</f>
        <v>100</v>
      </c>
      <c r="T189" s="46">
        <f t="shared" si="155"/>
        <v>100</v>
      </c>
      <c r="U189" s="46">
        <f t="shared" si="155"/>
        <v>100</v>
      </c>
      <c r="V189" s="46">
        <f t="shared" ref="V189:Y189" si="156">IF($N189=0,0,IF((O189/$N189*100)&gt;120,120,O189/$N189*100))</f>
        <v>50</v>
      </c>
      <c r="W189" s="46">
        <f t="shared" si="156"/>
        <v>60</v>
      </c>
      <c r="X189" s="46">
        <f t="shared" si="156"/>
        <v>70</v>
      </c>
      <c r="Y189" s="46">
        <f t="shared" si="156"/>
        <v>70</v>
      </c>
    </row>
    <row r="190" ht="14.25" customHeight="1">
      <c r="B190" s="39"/>
      <c r="C190" s="109" t="s">
        <v>262</v>
      </c>
      <c r="D190" s="77"/>
      <c r="E190" s="77"/>
      <c r="F190" s="77"/>
      <c r="G190" s="77"/>
      <c r="H190" s="77"/>
      <c r="I190" s="290">
        <f>4+1</f>
        <v>5</v>
      </c>
      <c r="J190" s="110" t="s">
        <v>87</v>
      </c>
      <c r="K190" s="291">
        <v>0.0</v>
      </c>
      <c r="L190" s="291">
        <v>1.0</v>
      </c>
      <c r="M190" s="291">
        <v>2.0</v>
      </c>
      <c r="N190" s="291">
        <v>5.0</v>
      </c>
      <c r="O190" s="291">
        <v>0.0</v>
      </c>
      <c r="P190" s="42">
        <v>1.0</v>
      </c>
      <c r="Q190" s="42">
        <f>P190+1</f>
        <v>2</v>
      </c>
      <c r="R190" s="42"/>
      <c r="S190" s="46">
        <f t="shared" ref="S190:U190" si="157">IF(K190=0,0,IF((O190/K190*100)&gt;120,120,O190/K190*100))</f>
        <v>0</v>
      </c>
      <c r="T190" s="46">
        <f t="shared" si="157"/>
        <v>100</v>
      </c>
      <c r="U190" s="46">
        <f t="shared" si="157"/>
        <v>100</v>
      </c>
      <c r="V190" s="46">
        <f t="shared" ref="V190:Y190" si="158">IF($N190=0,0,IF((O190/$N190*100)&gt;120,120,O190/$N190*100))</f>
        <v>0</v>
      </c>
      <c r="W190" s="46">
        <f t="shared" si="158"/>
        <v>20</v>
      </c>
      <c r="X190" s="46">
        <f t="shared" si="158"/>
        <v>40</v>
      </c>
      <c r="Y190" s="46">
        <f t="shared" si="158"/>
        <v>0</v>
      </c>
    </row>
    <row r="191" ht="14.25" customHeight="1">
      <c r="B191" s="39"/>
      <c r="C191" s="109" t="s">
        <v>263</v>
      </c>
      <c r="D191" s="77"/>
      <c r="E191" s="77"/>
      <c r="F191" s="77"/>
      <c r="G191" s="77"/>
      <c r="H191" s="77"/>
      <c r="I191" s="290">
        <v>5.0</v>
      </c>
      <c r="J191" s="110" t="s">
        <v>66</v>
      </c>
      <c r="K191" s="291">
        <v>5.0</v>
      </c>
      <c r="L191" s="291">
        <v>5.0</v>
      </c>
      <c r="M191" s="291">
        <v>5.0</v>
      </c>
      <c r="N191" s="291">
        <v>5.0</v>
      </c>
      <c r="O191" s="291">
        <v>5.0</v>
      </c>
      <c r="P191" s="42">
        <v>5.0</v>
      </c>
      <c r="Q191" s="42">
        <f>P191+0</f>
        <v>5</v>
      </c>
      <c r="R191" s="42"/>
      <c r="S191" s="46">
        <f t="shared" ref="S191:U191" si="159">IF(K191=0,0,IF((O191/K191*100)&gt;120,120,O191/K191*100))</f>
        <v>100</v>
      </c>
      <c r="T191" s="46">
        <f t="shared" si="159"/>
        <v>100</v>
      </c>
      <c r="U191" s="46">
        <f t="shared" si="159"/>
        <v>100</v>
      </c>
      <c r="V191" s="46">
        <f t="shared" ref="V191:Y191" si="160">IF($N191=0,0,IF((O191/$N191*100)&gt;120,120,O191/$N191*100))</f>
        <v>100</v>
      </c>
      <c r="W191" s="46">
        <f t="shared" si="160"/>
        <v>100</v>
      </c>
      <c r="X191" s="46">
        <f t="shared" si="160"/>
        <v>100</v>
      </c>
      <c r="Y191" s="46">
        <f t="shared" si="160"/>
        <v>0</v>
      </c>
    </row>
    <row r="192" ht="14.25" customHeight="1">
      <c r="B192" s="39" t="s">
        <v>264</v>
      </c>
      <c r="C192" s="39"/>
      <c r="D192" s="77"/>
      <c r="E192" s="77"/>
      <c r="F192" s="77"/>
      <c r="G192" s="77"/>
      <c r="H192" s="77"/>
      <c r="I192" s="292">
        <f>I193+I194</f>
        <v>4</v>
      </c>
      <c r="J192" s="103" t="s">
        <v>85</v>
      </c>
      <c r="K192" s="289">
        <f t="shared" ref="K192:O192" si="161">K193+K194</f>
        <v>0</v>
      </c>
      <c r="L192" s="289">
        <f t="shared" si="161"/>
        <v>1</v>
      </c>
      <c r="M192" s="289">
        <f t="shared" si="161"/>
        <v>2</v>
      </c>
      <c r="N192" s="289">
        <f t="shared" si="161"/>
        <v>4</v>
      </c>
      <c r="O192" s="289">
        <f t="shared" si="161"/>
        <v>0</v>
      </c>
      <c r="P192" s="39">
        <f t="shared" ref="P192:R192" si="162">SUM(P193:P194)</f>
        <v>1</v>
      </c>
      <c r="Q192" s="39">
        <f t="shared" si="162"/>
        <v>2</v>
      </c>
      <c r="R192" s="39">
        <f t="shared" si="162"/>
        <v>0</v>
      </c>
      <c r="S192" s="46">
        <f t="shared" ref="S192:U192" si="163">IF(K192=0,0,IF((O192/K192*100)&gt;120,120,O192/K192*100))</f>
        <v>0</v>
      </c>
      <c r="T192" s="46">
        <f t="shared" si="163"/>
        <v>100</v>
      </c>
      <c r="U192" s="46">
        <f t="shared" si="163"/>
        <v>100</v>
      </c>
      <c r="V192" s="46">
        <f t="shared" ref="V192:Y192" si="164">IF($N192=0,0,IF((O192/$N192*100)&gt;120,120,O192/$N192*100))</f>
        <v>0</v>
      </c>
      <c r="W192" s="46">
        <f t="shared" si="164"/>
        <v>25</v>
      </c>
      <c r="X192" s="46">
        <f t="shared" si="164"/>
        <v>50</v>
      </c>
      <c r="Y192" s="46">
        <f t="shared" si="164"/>
        <v>0</v>
      </c>
    </row>
    <row r="193" ht="14.25" customHeight="1">
      <c r="B193" s="39"/>
      <c r="C193" s="109" t="s">
        <v>265</v>
      </c>
      <c r="D193" s="77"/>
      <c r="E193" s="77"/>
      <c r="F193" s="77"/>
      <c r="G193" s="77"/>
      <c r="H193" s="77"/>
      <c r="I193" s="290">
        <v>4.0</v>
      </c>
      <c r="J193" s="110" t="s">
        <v>87</v>
      </c>
      <c r="K193" s="291">
        <v>0.0</v>
      </c>
      <c r="L193" s="291">
        <v>1.0</v>
      </c>
      <c r="M193" s="291">
        <v>2.0</v>
      </c>
      <c r="N193" s="291">
        <v>4.0</v>
      </c>
      <c r="O193" s="291">
        <v>0.0</v>
      </c>
      <c r="P193" s="42">
        <v>1.0</v>
      </c>
      <c r="Q193" s="42">
        <f>P193+1</f>
        <v>2</v>
      </c>
      <c r="R193" s="42"/>
      <c r="S193" s="46">
        <f t="shared" ref="S193:U193" si="165">IF(K193=0,0,IF((O193/K193*100)&gt;120,120,O193/K193*100))</f>
        <v>0</v>
      </c>
      <c r="T193" s="46">
        <f t="shared" si="165"/>
        <v>100</v>
      </c>
      <c r="U193" s="46">
        <f t="shared" si="165"/>
        <v>100</v>
      </c>
      <c r="V193" s="46">
        <f t="shared" ref="V193:Y193" si="166">IF($N193=0,0,IF((O193/$N193*100)&gt;120,120,O193/$N193*100))</f>
        <v>0</v>
      </c>
      <c r="W193" s="46">
        <f t="shared" si="166"/>
        <v>25</v>
      </c>
      <c r="X193" s="46">
        <f t="shared" si="166"/>
        <v>50</v>
      </c>
      <c r="Y193" s="46">
        <f t="shared" si="166"/>
        <v>0</v>
      </c>
    </row>
    <row r="194" ht="14.25" customHeight="1">
      <c r="B194" s="39"/>
      <c r="C194" s="109" t="s">
        <v>266</v>
      </c>
      <c r="D194" s="77"/>
      <c r="E194" s="77"/>
      <c r="F194" s="77"/>
      <c r="G194" s="77"/>
      <c r="H194" s="77"/>
      <c r="I194" s="290">
        <v>0.0</v>
      </c>
      <c r="J194" s="110" t="s">
        <v>66</v>
      </c>
      <c r="K194" s="291">
        <v>0.0</v>
      </c>
      <c r="L194" s="291">
        <v>0.0</v>
      </c>
      <c r="M194" s="291">
        <v>0.0</v>
      </c>
      <c r="N194" s="291">
        <v>0.0</v>
      </c>
      <c r="O194" s="291">
        <v>0.0</v>
      </c>
      <c r="P194" s="42">
        <v>0.0</v>
      </c>
      <c r="Q194" s="253">
        <v>0.0</v>
      </c>
      <c r="R194" s="42"/>
      <c r="S194" s="46">
        <f t="shared" ref="S194:U194" si="167">IF(K194=0,0,IF((O194/K194*100)&gt;120,120,O194/K194*100))</f>
        <v>0</v>
      </c>
      <c r="T194" s="46">
        <f t="shared" si="167"/>
        <v>0</v>
      </c>
      <c r="U194" s="46">
        <f t="shared" si="167"/>
        <v>0</v>
      </c>
      <c r="V194" s="46">
        <f t="shared" ref="V194:Y194" si="168">IF($N194=0,0,IF((O194/$N194*100)&gt;120,120,O194/$N194*100))</f>
        <v>0</v>
      </c>
      <c r="W194" s="46">
        <f t="shared" si="168"/>
        <v>0</v>
      </c>
      <c r="X194" s="46">
        <f t="shared" si="168"/>
        <v>0</v>
      </c>
      <c r="Y194" s="46">
        <f t="shared" si="168"/>
        <v>0</v>
      </c>
    </row>
    <row r="195" ht="14.25" customHeight="1">
      <c r="B195" s="39" t="s">
        <v>267</v>
      </c>
      <c r="C195" s="39"/>
      <c r="D195" s="77"/>
      <c r="E195" s="77"/>
      <c r="F195" s="77"/>
      <c r="G195" s="77"/>
      <c r="H195" s="77"/>
      <c r="I195" s="292">
        <v>2.0</v>
      </c>
      <c r="J195" s="103" t="s">
        <v>87</v>
      </c>
      <c r="K195" s="291">
        <v>0.0</v>
      </c>
      <c r="L195" s="291">
        <v>1.0</v>
      </c>
      <c r="M195" s="291">
        <v>1.0</v>
      </c>
      <c r="N195" s="291">
        <v>2.0</v>
      </c>
      <c r="O195" s="291">
        <v>0.0</v>
      </c>
      <c r="P195" s="42">
        <v>1.0</v>
      </c>
      <c r="Q195" s="42">
        <f t="shared" ref="Q195:Q196" si="171">P195</f>
        <v>1</v>
      </c>
      <c r="R195" s="42"/>
      <c r="S195" s="46">
        <f t="shared" ref="S195:U195" si="169">IF(K195=0,0,IF((O195/K195*100)&gt;120,120,O195/K195*100))</f>
        <v>0</v>
      </c>
      <c r="T195" s="46">
        <f t="shared" si="169"/>
        <v>100</v>
      </c>
      <c r="U195" s="46">
        <f t="shared" si="169"/>
        <v>100</v>
      </c>
      <c r="V195" s="46">
        <f t="shared" ref="V195:Y195" si="170">IF($N195=0,0,IF((O195/$N195*100)&gt;120,120,O195/$N195*100))</f>
        <v>0</v>
      </c>
      <c r="W195" s="46">
        <f t="shared" si="170"/>
        <v>50</v>
      </c>
      <c r="X195" s="46">
        <f t="shared" si="170"/>
        <v>50</v>
      </c>
      <c r="Y195" s="46">
        <f t="shared" si="170"/>
        <v>0</v>
      </c>
    </row>
    <row r="196" ht="14.25" customHeight="1">
      <c r="B196" s="39" t="s">
        <v>268</v>
      </c>
      <c r="C196" s="39"/>
      <c r="D196" s="77"/>
      <c r="E196" s="77"/>
      <c r="F196" s="77"/>
      <c r="G196" s="77"/>
      <c r="H196" s="77"/>
      <c r="I196" s="159">
        <f t="shared" ref="I196:I197" si="174">N196</f>
        <v>0</v>
      </c>
      <c r="J196" s="103" t="s">
        <v>95</v>
      </c>
      <c r="K196" s="42">
        <v>0.0</v>
      </c>
      <c r="L196" s="42">
        <v>0.0</v>
      </c>
      <c r="M196" s="42">
        <v>0.0</v>
      </c>
      <c r="N196" s="42">
        <v>0.0</v>
      </c>
      <c r="O196" s="42">
        <v>0.0</v>
      </c>
      <c r="P196" s="42">
        <v>0.0</v>
      </c>
      <c r="Q196" s="42">
        <f t="shared" si="171"/>
        <v>0</v>
      </c>
      <c r="R196" s="42"/>
      <c r="S196" s="46">
        <f t="shared" ref="S196:U196" si="172">IF(K196=0,0,IF((O196/K196*100)&gt;120,120,O196/K196*100))</f>
        <v>0</v>
      </c>
      <c r="T196" s="46">
        <f t="shared" si="172"/>
        <v>0</v>
      </c>
      <c r="U196" s="46">
        <f t="shared" si="172"/>
        <v>0</v>
      </c>
      <c r="V196" s="46">
        <f t="shared" ref="V196:Y196" si="173">IF($N196=0,0,IF((O196/$N196*100)&gt;120,120,O196/$N196*100))</f>
        <v>0</v>
      </c>
      <c r="W196" s="46">
        <f t="shared" si="173"/>
        <v>0</v>
      </c>
      <c r="X196" s="46">
        <f t="shared" si="173"/>
        <v>0</v>
      </c>
      <c r="Y196" s="46">
        <f t="shared" si="173"/>
        <v>0</v>
      </c>
    </row>
    <row r="197" ht="14.25" customHeight="1">
      <c r="B197" s="39" t="s">
        <v>269</v>
      </c>
      <c r="C197" s="39"/>
      <c r="D197" s="77"/>
      <c r="E197" s="77"/>
      <c r="F197" s="77"/>
      <c r="G197" s="77"/>
      <c r="H197" s="77"/>
      <c r="I197" s="293">
        <f t="shared" si="174"/>
        <v>89.48717949</v>
      </c>
      <c r="J197" s="103" t="s">
        <v>35</v>
      </c>
      <c r="K197" s="254">
        <f t="shared" ref="K197:N197" si="175">IF($I203=0,0,AVERAGE(IF($I203&gt;0,K203/$I203*100,0)))</f>
        <v>16.75990676</v>
      </c>
      <c r="L197" s="254">
        <f t="shared" si="175"/>
        <v>30.09324009</v>
      </c>
      <c r="M197" s="254">
        <f t="shared" si="175"/>
        <v>52.30769231</v>
      </c>
      <c r="N197" s="254">
        <f t="shared" si="175"/>
        <v>89.48717949</v>
      </c>
      <c r="O197" s="254">
        <f t="shared" ref="O197:R197" si="176">IF($I198+$I203+$I209=0,0,AVERAGE(IF($I203&gt;0,O203/$I203*100,0)))</f>
        <v>15.8974359</v>
      </c>
      <c r="P197" s="254">
        <f t="shared" si="176"/>
        <v>32.28438228</v>
      </c>
      <c r="Q197" s="254">
        <f t="shared" si="176"/>
        <v>82.58741259</v>
      </c>
      <c r="R197" s="254">
        <f t="shared" si="176"/>
        <v>0</v>
      </c>
      <c r="S197" s="46">
        <f t="shared" ref="S197:U197" si="177">IF(K197=0,0,IF((O197/K197*100)&gt;120,120,O197/K197*100))</f>
        <v>94.85396384</v>
      </c>
      <c r="T197" s="46">
        <f t="shared" si="177"/>
        <v>107.2811774</v>
      </c>
      <c r="U197" s="46">
        <f t="shared" si="177"/>
        <v>120</v>
      </c>
      <c r="V197" s="46">
        <f t="shared" ref="V197:Y197" si="178">IF($N197=0,0,IF((O197/$N197*100)&gt;120,120,O197/$N197*100))</f>
        <v>17.76504298</v>
      </c>
      <c r="W197" s="46">
        <f t="shared" si="178"/>
        <v>36.07710341</v>
      </c>
      <c r="X197" s="46">
        <f t="shared" si="178"/>
        <v>92.28965877</v>
      </c>
      <c r="Y197" s="46">
        <f t="shared" si="178"/>
        <v>0</v>
      </c>
    </row>
    <row r="198" ht="14.25" customHeight="1">
      <c r="B198" s="39"/>
      <c r="C198" s="109" t="s">
        <v>270</v>
      </c>
      <c r="D198" s="77"/>
      <c r="E198" s="77"/>
      <c r="F198" s="77"/>
      <c r="G198" s="77"/>
      <c r="H198" s="77"/>
      <c r="I198" s="42">
        <f>SUM(I199:I202)</f>
        <v>0</v>
      </c>
      <c r="J198" s="110" t="s">
        <v>98</v>
      </c>
      <c r="K198" s="42">
        <f t="shared" ref="K198:R198" si="179">SUM(K199:K202)</f>
        <v>0</v>
      </c>
      <c r="L198" s="42">
        <f t="shared" si="179"/>
        <v>0</v>
      </c>
      <c r="M198" s="42">
        <f t="shared" si="179"/>
        <v>0</v>
      </c>
      <c r="N198" s="42">
        <f t="shared" si="179"/>
        <v>0</v>
      </c>
      <c r="O198" s="42">
        <f t="shared" si="179"/>
        <v>0</v>
      </c>
      <c r="P198" s="42">
        <f t="shared" si="179"/>
        <v>0</v>
      </c>
      <c r="Q198" s="42">
        <f t="shared" si="179"/>
        <v>0</v>
      </c>
      <c r="R198" s="42">
        <f t="shared" si="179"/>
        <v>0</v>
      </c>
      <c r="S198" s="111"/>
      <c r="T198" s="111"/>
      <c r="U198" s="111"/>
      <c r="V198" s="111"/>
      <c r="W198" s="111"/>
      <c r="X198" s="111"/>
      <c r="Y198" s="111"/>
    </row>
    <row r="199" ht="14.25" customHeight="1">
      <c r="B199" s="39"/>
      <c r="C199" s="109"/>
      <c r="D199" s="77" t="s">
        <v>246</v>
      </c>
      <c r="E199" s="77"/>
      <c r="F199" s="77"/>
      <c r="G199" s="77"/>
      <c r="H199" s="77"/>
      <c r="I199" s="42"/>
      <c r="J199" s="110" t="s">
        <v>98</v>
      </c>
      <c r="K199" s="42"/>
      <c r="L199" s="42"/>
      <c r="M199" s="42"/>
      <c r="N199" s="42"/>
      <c r="O199" s="42"/>
      <c r="P199" s="42"/>
      <c r="Q199" s="42"/>
      <c r="R199" s="42"/>
      <c r="S199" s="111"/>
      <c r="T199" s="111"/>
      <c r="U199" s="111"/>
      <c r="V199" s="111"/>
      <c r="W199" s="111"/>
      <c r="X199" s="111"/>
      <c r="Y199" s="111"/>
    </row>
    <row r="200" ht="14.25" customHeight="1">
      <c r="B200" s="39"/>
      <c r="C200" s="109"/>
      <c r="D200" s="77" t="s">
        <v>246</v>
      </c>
      <c r="E200" s="77"/>
      <c r="F200" s="77"/>
      <c r="G200" s="77"/>
      <c r="H200" s="77"/>
      <c r="I200" s="42"/>
      <c r="J200" s="110" t="s">
        <v>98</v>
      </c>
      <c r="K200" s="42"/>
      <c r="L200" s="42"/>
      <c r="M200" s="42"/>
      <c r="N200" s="42"/>
      <c r="O200" s="42"/>
      <c r="P200" s="42"/>
      <c r="Q200" s="42"/>
      <c r="R200" s="42"/>
      <c r="S200" s="111"/>
      <c r="T200" s="111"/>
      <c r="U200" s="111"/>
      <c r="V200" s="111"/>
      <c r="W200" s="111"/>
      <c r="X200" s="111"/>
      <c r="Y200" s="111"/>
    </row>
    <row r="201" ht="14.25" customHeight="1">
      <c r="B201" s="39"/>
      <c r="C201" s="109"/>
      <c r="D201" s="77" t="s">
        <v>246</v>
      </c>
      <c r="E201" s="77"/>
      <c r="F201" s="77"/>
      <c r="G201" s="77"/>
      <c r="H201" s="77"/>
      <c r="I201" s="42"/>
      <c r="J201" s="110" t="s">
        <v>98</v>
      </c>
      <c r="K201" s="42"/>
      <c r="L201" s="42"/>
      <c r="M201" s="42"/>
      <c r="N201" s="42"/>
      <c r="O201" s="42"/>
      <c r="P201" s="42"/>
      <c r="Q201" s="42"/>
      <c r="R201" s="42"/>
      <c r="S201" s="111"/>
      <c r="T201" s="111"/>
      <c r="U201" s="111"/>
      <c r="V201" s="111"/>
      <c r="W201" s="111"/>
      <c r="X201" s="111"/>
      <c r="Y201" s="111"/>
    </row>
    <row r="202" ht="14.25" customHeight="1">
      <c r="B202" s="39"/>
      <c r="C202" s="109"/>
      <c r="D202" s="77" t="s">
        <v>246</v>
      </c>
      <c r="E202" s="77"/>
      <c r="F202" s="77"/>
      <c r="G202" s="77"/>
      <c r="H202" s="77"/>
      <c r="I202" s="42"/>
      <c r="J202" s="110" t="s">
        <v>98</v>
      </c>
      <c r="K202" s="42"/>
      <c r="L202" s="42"/>
      <c r="M202" s="42"/>
      <c r="N202" s="42"/>
      <c r="O202" s="42"/>
      <c r="P202" s="42"/>
      <c r="Q202" s="42"/>
      <c r="R202" s="42"/>
      <c r="S202" s="111"/>
      <c r="T202" s="111"/>
      <c r="U202" s="111"/>
      <c r="V202" s="111"/>
      <c r="W202" s="111"/>
      <c r="X202" s="111"/>
      <c r="Y202" s="111"/>
    </row>
    <row r="203" ht="14.25" customHeight="1">
      <c r="B203" s="39"/>
      <c r="C203" s="109" t="s">
        <v>271</v>
      </c>
      <c r="D203" s="77"/>
      <c r="E203" s="77"/>
      <c r="F203" s="77"/>
      <c r="G203" s="77"/>
      <c r="H203" s="77"/>
      <c r="I203" s="294">
        <f>I204+I205+I206+I207+I208</f>
        <v>4290</v>
      </c>
      <c r="J203" s="110" t="s">
        <v>98</v>
      </c>
      <c r="K203" s="295">
        <f t="shared" ref="K203:O203" si="180">K204+K205+K206+K207+K208</f>
        <v>719</v>
      </c>
      <c r="L203" s="291">
        <f t="shared" si="180"/>
        <v>1291</v>
      </c>
      <c r="M203" s="291">
        <f t="shared" si="180"/>
        <v>2244</v>
      </c>
      <c r="N203" s="296">
        <f t="shared" si="180"/>
        <v>3839</v>
      </c>
      <c r="O203" s="291">
        <f t="shared" si="180"/>
        <v>682</v>
      </c>
      <c r="P203" s="42">
        <f t="shared" ref="P203:R203" si="181">SUM(P204:P208)</f>
        <v>1385</v>
      </c>
      <c r="Q203" s="42">
        <f t="shared" si="181"/>
        <v>3543</v>
      </c>
      <c r="R203" s="42">
        <f t="shared" si="181"/>
        <v>0</v>
      </c>
      <c r="S203" s="111"/>
      <c r="T203" s="111"/>
      <c r="U203" s="111"/>
      <c r="V203" s="111"/>
      <c r="W203" s="111"/>
      <c r="X203" s="111"/>
      <c r="Y203" s="111"/>
    </row>
    <row r="204" ht="14.25" customHeight="1">
      <c r="B204" s="39"/>
      <c r="C204" s="109"/>
      <c r="D204" s="77" t="s">
        <v>272</v>
      </c>
      <c r="E204" s="77"/>
      <c r="F204" s="77"/>
      <c r="G204" s="77"/>
      <c r="H204" s="297"/>
      <c r="I204" s="290">
        <v>1800.0</v>
      </c>
      <c r="J204" s="110" t="s">
        <v>98</v>
      </c>
      <c r="K204" s="295">
        <v>582.0</v>
      </c>
      <c r="L204" s="291">
        <v>988.0</v>
      </c>
      <c r="M204" s="291">
        <v>1394.0</v>
      </c>
      <c r="N204" s="291">
        <v>1800.0</v>
      </c>
      <c r="O204" s="291">
        <v>582.0</v>
      </c>
      <c r="P204" s="42">
        <v>988.0</v>
      </c>
      <c r="Q204" s="42">
        <f>P204+406</f>
        <v>1394</v>
      </c>
      <c r="R204" s="42"/>
      <c r="S204" s="111"/>
      <c r="T204" s="111"/>
      <c r="U204" s="111"/>
      <c r="V204" s="111"/>
      <c r="W204" s="111"/>
      <c r="X204" s="111"/>
      <c r="Y204" s="111"/>
    </row>
    <row r="205" ht="14.25" customHeight="1">
      <c r="B205" s="39"/>
      <c r="C205" s="109"/>
      <c r="D205" s="77" t="s">
        <v>273</v>
      </c>
      <c r="E205" s="77"/>
      <c r="F205" s="77"/>
      <c r="G205" s="77"/>
      <c r="H205" s="297"/>
      <c r="I205" s="290">
        <v>1637.0</v>
      </c>
      <c r="J205" s="110" t="s">
        <v>98</v>
      </c>
      <c r="K205" s="291">
        <v>0.0</v>
      </c>
      <c r="L205" s="291">
        <v>0.0</v>
      </c>
      <c r="M205" s="298">
        <v>295.0</v>
      </c>
      <c r="N205" s="291">
        <v>1342.0</v>
      </c>
      <c r="O205" s="291">
        <v>0.0</v>
      </c>
      <c r="P205" s="42">
        <v>0.0</v>
      </c>
      <c r="Q205" s="42">
        <f>295+1342</f>
        <v>1637</v>
      </c>
      <c r="R205" s="42"/>
      <c r="S205" s="111"/>
      <c r="T205" s="111"/>
      <c r="U205" s="111"/>
      <c r="V205" s="111"/>
      <c r="W205" s="111"/>
      <c r="X205" s="111"/>
      <c r="Y205" s="111"/>
    </row>
    <row r="206" ht="14.25" customHeight="1">
      <c r="B206" s="39"/>
      <c r="C206" s="109"/>
      <c r="D206" s="77" t="s">
        <v>274</v>
      </c>
      <c r="E206" s="77"/>
      <c r="F206" s="77"/>
      <c r="G206" s="77"/>
      <c r="H206" s="297"/>
      <c r="I206" s="290">
        <v>432.0</v>
      </c>
      <c r="J206" s="110" t="s">
        <v>98</v>
      </c>
      <c r="K206" s="291">
        <v>86.0</v>
      </c>
      <c r="L206" s="291">
        <v>164.0</v>
      </c>
      <c r="M206" s="291">
        <v>242.0</v>
      </c>
      <c r="N206" s="291">
        <v>320.0</v>
      </c>
      <c r="O206" s="291">
        <f>30+12</f>
        <v>42</v>
      </c>
      <c r="P206" s="42">
        <v>78.0</v>
      </c>
      <c r="Q206" s="42">
        <f>P206+70</f>
        <v>148</v>
      </c>
      <c r="R206" s="42"/>
      <c r="S206" s="111"/>
      <c r="T206" s="111"/>
      <c r="U206" s="111"/>
      <c r="V206" s="111"/>
      <c r="W206" s="111"/>
      <c r="X206" s="111"/>
      <c r="Y206" s="111"/>
    </row>
    <row r="207" ht="14.25" customHeight="1">
      <c r="B207" s="39"/>
      <c r="C207" s="109"/>
      <c r="D207" s="77" t="s">
        <v>275</v>
      </c>
      <c r="E207" s="77"/>
      <c r="F207" s="77"/>
      <c r="G207" s="77"/>
      <c r="H207" s="297"/>
      <c r="I207" s="290">
        <v>185.0</v>
      </c>
      <c r="J207" s="110" t="s">
        <v>98</v>
      </c>
      <c r="K207" s="291">
        <v>0.0</v>
      </c>
      <c r="L207" s="291">
        <v>22.0</v>
      </c>
      <c r="M207" s="291">
        <v>77.0</v>
      </c>
      <c r="N207" s="291">
        <v>141.0</v>
      </c>
      <c r="O207" s="291">
        <v>0.0</v>
      </c>
      <c r="P207" s="42">
        <v>38.0</v>
      </c>
      <c r="Q207" s="42">
        <f>P207+45</f>
        <v>83</v>
      </c>
      <c r="R207" s="42"/>
      <c r="S207" s="111"/>
      <c r="T207" s="111"/>
      <c r="U207" s="111"/>
      <c r="V207" s="111"/>
      <c r="W207" s="111"/>
      <c r="X207" s="111"/>
      <c r="Y207" s="111"/>
    </row>
    <row r="208" ht="14.25" customHeight="1">
      <c r="B208" s="39"/>
      <c r="C208" s="109"/>
      <c r="D208" s="77" t="s">
        <v>276</v>
      </c>
      <c r="E208" s="77"/>
      <c r="F208" s="77"/>
      <c r="G208" s="77"/>
      <c r="H208" s="297"/>
      <c r="I208" s="290">
        <v>236.0</v>
      </c>
      <c r="J208" s="110" t="s">
        <v>98</v>
      </c>
      <c r="K208" s="298">
        <v>51.0</v>
      </c>
      <c r="L208" s="291">
        <v>117.0</v>
      </c>
      <c r="M208" s="291">
        <v>236.0</v>
      </c>
      <c r="N208" s="299">
        <v>236.0</v>
      </c>
      <c r="O208" s="298">
        <f>37+21</f>
        <v>58</v>
      </c>
      <c r="P208" s="42">
        <v>281.0</v>
      </c>
      <c r="Q208" s="42">
        <f>P208</f>
        <v>281</v>
      </c>
      <c r="R208" s="42"/>
      <c r="S208" s="111"/>
      <c r="T208" s="111"/>
      <c r="U208" s="111"/>
      <c r="V208" s="111"/>
      <c r="W208" s="111"/>
      <c r="X208" s="111"/>
      <c r="Y208" s="111"/>
    </row>
    <row r="209" ht="14.25" customHeight="1">
      <c r="B209" s="39"/>
      <c r="C209" s="109" t="s">
        <v>277</v>
      </c>
      <c r="D209" s="77"/>
      <c r="E209" s="77"/>
      <c r="F209" s="77"/>
      <c r="G209" s="77"/>
      <c r="H209" s="77"/>
      <c r="I209" s="42">
        <f>SUM(I210:I213)</f>
        <v>0</v>
      </c>
      <c r="J209" s="110" t="s">
        <v>98</v>
      </c>
      <c r="K209" s="42">
        <f t="shared" ref="K209:R209" si="182">SUM(K210:K213)</f>
        <v>0</v>
      </c>
      <c r="L209" s="42">
        <f t="shared" si="182"/>
        <v>0</v>
      </c>
      <c r="M209" s="42">
        <f t="shared" si="182"/>
        <v>0</v>
      </c>
      <c r="N209" s="42">
        <f t="shared" si="182"/>
        <v>0</v>
      </c>
      <c r="O209" s="42">
        <f t="shared" si="182"/>
        <v>0</v>
      </c>
      <c r="P209" s="42">
        <f t="shared" si="182"/>
        <v>0</v>
      </c>
      <c r="Q209" s="42">
        <f t="shared" si="182"/>
        <v>0</v>
      </c>
      <c r="R209" s="42">
        <f t="shared" si="182"/>
        <v>0</v>
      </c>
      <c r="S209" s="111"/>
      <c r="T209" s="111"/>
      <c r="U209" s="111"/>
      <c r="V209" s="111"/>
      <c r="W209" s="111"/>
      <c r="X209" s="111"/>
      <c r="Y209" s="111"/>
    </row>
    <row r="210" ht="14.25" customHeight="1">
      <c r="B210" s="39"/>
      <c r="C210" s="109"/>
      <c r="D210" s="77" t="s">
        <v>246</v>
      </c>
      <c r="E210" s="77"/>
      <c r="F210" s="77"/>
      <c r="G210" s="77"/>
      <c r="H210" s="77"/>
      <c r="I210" s="42"/>
      <c r="J210" s="110" t="s">
        <v>98</v>
      </c>
      <c r="K210" s="42"/>
      <c r="L210" s="42"/>
      <c r="M210" s="42"/>
      <c r="N210" s="42"/>
      <c r="O210" s="42"/>
      <c r="P210" s="42"/>
      <c r="Q210" s="42"/>
      <c r="R210" s="42"/>
      <c r="S210" s="111"/>
      <c r="T210" s="111"/>
      <c r="U210" s="111"/>
      <c r="V210" s="111"/>
      <c r="W210" s="111"/>
      <c r="X210" s="111"/>
      <c r="Y210" s="111"/>
    </row>
    <row r="211" ht="14.25" customHeight="1">
      <c r="B211" s="39"/>
      <c r="C211" s="109"/>
      <c r="D211" s="77" t="s">
        <v>246</v>
      </c>
      <c r="E211" s="77"/>
      <c r="F211" s="77"/>
      <c r="G211" s="77"/>
      <c r="H211" s="77"/>
      <c r="I211" s="42"/>
      <c r="J211" s="110" t="s">
        <v>98</v>
      </c>
      <c r="K211" s="42"/>
      <c r="L211" s="42"/>
      <c r="M211" s="42"/>
      <c r="N211" s="42"/>
      <c r="O211" s="42"/>
      <c r="P211" s="42"/>
      <c r="Q211" s="42"/>
      <c r="R211" s="42"/>
      <c r="S211" s="111"/>
      <c r="T211" s="111"/>
      <c r="U211" s="111"/>
      <c r="V211" s="111"/>
      <c r="W211" s="111"/>
      <c r="X211" s="111"/>
      <c r="Y211" s="111"/>
    </row>
    <row r="212" ht="14.25" customHeight="1">
      <c r="B212" s="39"/>
      <c r="C212" s="109"/>
      <c r="D212" s="77" t="s">
        <v>246</v>
      </c>
      <c r="E212" s="77"/>
      <c r="F212" s="77"/>
      <c r="G212" s="77"/>
      <c r="H212" s="77"/>
      <c r="I212" s="42"/>
      <c r="J212" s="110" t="s">
        <v>98</v>
      </c>
      <c r="K212" s="42"/>
      <c r="L212" s="42"/>
      <c r="M212" s="42"/>
      <c r="N212" s="42"/>
      <c r="O212" s="42"/>
      <c r="P212" s="42"/>
      <c r="Q212" s="42"/>
      <c r="R212" s="42"/>
      <c r="S212" s="111"/>
      <c r="T212" s="111"/>
      <c r="U212" s="111"/>
      <c r="V212" s="111"/>
      <c r="W212" s="111"/>
      <c r="X212" s="111"/>
      <c r="Y212" s="111"/>
    </row>
    <row r="213" ht="14.25" customHeight="1">
      <c r="B213" s="39"/>
      <c r="C213" s="109"/>
      <c r="D213" s="77" t="s">
        <v>246</v>
      </c>
      <c r="E213" s="77"/>
      <c r="F213" s="77"/>
      <c r="G213" s="77"/>
      <c r="H213" s="77"/>
      <c r="I213" s="42"/>
      <c r="J213" s="110" t="s">
        <v>98</v>
      </c>
      <c r="K213" s="42"/>
      <c r="L213" s="42"/>
      <c r="M213" s="42"/>
      <c r="N213" s="42"/>
      <c r="O213" s="42"/>
      <c r="P213" s="42"/>
      <c r="Q213" s="42"/>
      <c r="R213" s="42"/>
      <c r="S213" s="111"/>
      <c r="T213" s="111"/>
      <c r="U213" s="111"/>
      <c r="V213" s="111"/>
      <c r="W213" s="111"/>
      <c r="X213" s="111"/>
      <c r="Y213" s="111"/>
    </row>
    <row r="214" ht="14.25" customHeight="1">
      <c r="B214" s="39" t="s">
        <v>278</v>
      </c>
      <c r="C214" s="39"/>
      <c r="D214" s="77"/>
      <c r="E214" s="77"/>
      <c r="F214" s="77"/>
      <c r="G214" s="77"/>
      <c r="H214" s="77"/>
      <c r="I214" s="159"/>
      <c r="J214" s="103" t="s">
        <v>35</v>
      </c>
      <c r="K214" s="143">
        <f t="shared" ref="K214:P214" si="183">K197</f>
        <v>16.75990676</v>
      </c>
      <c r="L214" s="143">
        <f t="shared" si="183"/>
        <v>30.09324009</v>
      </c>
      <c r="M214" s="143">
        <f t="shared" si="183"/>
        <v>52.30769231</v>
      </c>
      <c r="N214" s="143">
        <f t="shared" si="183"/>
        <v>89.48717949</v>
      </c>
      <c r="O214" s="143">
        <f t="shared" si="183"/>
        <v>15.8974359</v>
      </c>
      <c r="P214" s="143">
        <f t="shared" si="183"/>
        <v>32.28438228</v>
      </c>
      <c r="Q214" s="143">
        <f>Q203/I203*100</f>
        <v>82.58741259</v>
      </c>
      <c r="R214" s="143"/>
      <c r="S214" s="46">
        <f t="shared" ref="S214:U214" si="184">IF(K214=0,0,IF((O214/K214*100)&gt;120,120,O214/K214*100))</f>
        <v>94.85396384</v>
      </c>
      <c r="T214" s="46">
        <f t="shared" si="184"/>
        <v>107.2811774</v>
      </c>
      <c r="U214" s="46">
        <f t="shared" si="184"/>
        <v>120</v>
      </c>
      <c r="V214" s="46">
        <f t="shared" ref="V214:Y214" si="185">IF($N214=0,0,IF((O214/$N214*100)&gt;120,120,O214/$N214*100))</f>
        <v>17.76504298</v>
      </c>
      <c r="W214" s="46">
        <f t="shared" si="185"/>
        <v>36.07710341</v>
      </c>
      <c r="X214" s="46">
        <f t="shared" si="185"/>
        <v>92.28965877</v>
      </c>
      <c r="Y214" s="46">
        <f t="shared" si="185"/>
        <v>0</v>
      </c>
    </row>
    <row r="215" ht="14.25" customHeight="1">
      <c r="B215" s="39"/>
      <c r="C215" s="39"/>
      <c r="D215" s="39"/>
      <c r="E215" s="39"/>
      <c r="F215" s="39"/>
      <c r="G215" s="39"/>
      <c r="H215" s="39"/>
      <c r="I215" s="39"/>
      <c r="J215" s="39"/>
      <c r="K215" s="39"/>
      <c r="L215" s="39"/>
      <c r="M215" s="39"/>
      <c r="N215" s="39"/>
      <c r="O215" s="39"/>
      <c r="P215" s="39"/>
      <c r="Q215" s="39"/>
      <c r="R215" s="39"/>
      <c r="S215" s="39"/>
      <c r="T215" s="39"/>
      <c r="U215" s="39"/>
      <c r="V215" s="39"/>
      <c r="W215" s="39"/>
      <c r="X215" s="39"/>
      <c r="Y215" s="39"/>
    </row>
    <row r="216" ht="14.25" customHeight="1">
      <c r="B216" s="282"/>
      <c r="C216" s="283"/>
      <c r="D216" s="284"/>
      <c r="E216" s="284"/>
      <c r="F216" s="284"/>
      <c r="G216" s="285" t="s">
        <v>279</v>
      </c>
      <c r="H216" s="284"/>
      <c r="I216" s="284"/>
      <c r="J216" s="284"/>
      <c r="K216" s="286"/>
      <c r="L216" s="286"/>
      <c r="M216" s="286"/>
      <c r="N216" s="286"/>
      <c r="O216" s="286"/>
      <c r="P216" s="286"/>
      <c r="Q216" s="286"/>
      <c r="R216" s="286"/>
      <c r="S216" s="287">
        <f t="shared" ref="S216:Y216" si="186">IF(SUM(K188:K198,K214)&gt;0,SUM(S188:S198,S214)/SUM(COUNTIF(K188:K198,"&gt;0"),COUNTIF(K214,"&gt;0")),0)</f>
        <v>97.42698192</v>
      </c>
      <c r="T216" s="287">
        <f t="shared" si="186"/>
        <v>101.8202943</v>
      </c>
      <c r="U216" s="287">
        <f t="shared" si="186"/>
        <v>105</v>
      </c>
      <c r="V216" s="287">
        <f t="shared" si="186"/>
        <v>23.19126074</v>
      </c>
      <c r="W216" s="287">
        <f t="shared" si="186"/>
        <v>88.03855171</v>
      </c>
      <c r="X216" s="287">
        <f t="shared" si="186"/>
        <v>68.07241469</v>
      </c>
      <c r="Y216" s="287">
        <f t="shared" si="186"/>
        <v>8.75</v>
      </c>
    </row>
    <row r="217" ht="14.25" customHeight="1">
      <c r="K217" s="300"/>
      <c r="L217" s="300"/>
      <c r="M217" s="300"/>
      <c r="N217" s="300"/>
    </row>
    <row r="218" ht="14.25" customHeight="1"/>
    <row r="219" ht="14.25" customHeight="1">
      <c r="B219" s="4" t="s">
        <v>280</v>
      </c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6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</row>
    <row r="220" ht="15.75" customHeight="1">
      <c r="B220" s="150" t="s">
        <v>2</v>
      </c>
      <c r="C220" s="8"/>
      <c r="D220" s="8"/>
      <c r="E220" s="8"/>
      <c r="F220" s="8"/>
      <c r="G220" s="8"/>
      <c r="H220" s="8"/>
      <c r="I220" s="273"/>
      <c r="J220" s="152" t="s">
        <v>3</v>
      </c>
      <c r="K220" s="11"/>
      <c r="L220" s="11"/>
      <c r="M220" s="11"/>
      <c r="N220" s="11"/>
      <c r="O220" s="11"/>
      <c r="P220" s="11"/>
      <c r="Q220" s="11"/>
      <c r="R220" s="12"/>
      <c r="S220" s="152" t="s">
        <v>4</v>
      </c>
      <c r="T220" s="11"/>
      <c r="U220" s="11"/>
      <c r="V220" s="11"/>
      <c r="W220" s="11"/>
      <c r="X220" s="11"/>
      <c r="Y220" s="12"/>
    </row>
    <row r="221" ht="14.25" customHeight="1">
      <c r="B221" s="13"/>
      <c r="I221" s="92"/>
      <c r="J221" s="153" t="s">
        <v>5</v>
      </c>
      <c r="K221" s="154" t="s">
        <v>62</v>
      </c>
      <c r="L221" s="17"/>
      <c r="M221" s="17"/>
      <c r="N221" s="18"/>
      <c r="O221" s="154" t="s">
        <v>63</v>
      </c>
      <c r="P221" s="17"/>
      <c r="Q221" s="17"/>
      <c r="R221" s="18"/>
      <c r="S221" s="154" t="s">
        <v>64</v>
      </c>
      <c r="T221" s="17"/>
      <c r="U221" s="18"/>
      <c r="V221" s="154" t="s">
        <v>9</v>
      </c>
      <c r="W221" s="17"/>
      <c r="X221" s="17"/>
      <c r="Y221" s="18"/>
    </row>
    <row r="222" ht="14.25" customHeight="1">
      <c r="B222" s="19"/>
      <c r="C222" s="20"/>
      <c r="D222" s="20"/>
      <c r="E222" s="20"/>
      <c r="F222" s="20"/>
      <c r="G222" s="20"/>
      <c r="H222" s="20"/>
      <c r="I222" s="21"/>
      <c r="J222" s="22"/>
      <c r="K222" s="155" t="s">
        <v>10</v>
      </c>
      <c r="L222" s="155" t="s">
        <v>11</v>
      </c>
      <c r="M222" s="155" t="s">
        <v>12</v>
      </c>
      <c r="N222" s="155" t="s">
        <v>13</v>
      </c>
      <c r="O222" s="155" t="s">
        <v>10</v>
      </c>
      <c r="P222" s="155" t="s">
        <v>11</v>
      </c>
      <c r="Q222" s="155" t="s">
        <v>12</v>
      </c>
      <c r="R222" s="155" t="s">
        <v>13</v>
      </c>
      <c r="S222" s="155" t="s">
        <v>10</v>
      </c>
      <c r="T222" s="155" t="s">
        <v>11</v>
      </c>
      <c r="U222" s="155" t="s">
        <v>12</v>
      </c>
      <c r="V222" s="155" t="s">
        <v>10</v>
      </c>
      <c r="W222" s="155" t="s">
        <v>11</v>
      </c>
      <c r="X222" s="155" t="s">
        <v>12</v>
      </c>
      <c r="Y222" s="155" t="s">
        <v>13</v>
      </c>
    </row>
    <row r="223" ht="14.25" customHeight="1">
      <c r="B223" s="157">
        <v>-1.0</v>
      </c>
      <c r="C223" s="27"/>
      <c r="D223" s="27"/>
      <c r="E223" s="27"/>
      <c r="F223" s="27"/>
      <c r="G223" s="27"/>
      <c r="H223" s="27"/>
      <c r="I223" s="274"/>
      <c r="J223" s="158">
        <v>-2.0</v>
      </c>
      <c r="K223" s="158">
        <v>-3.0</v>
      </c>
      <c r="L223" s="158">
        <v>-4.0</v>
      </c>
      <c r="M223" s="158">
        <v>-5.0</v>
      </c>
      <c r="N223" s="158">
        <v>-6.0</v>
      </c>
      <c r="O223" s="158">
        <v>-7.0</v>
      </c>
      <c r="P223" s="158">
        <v>-8.0</v>
      </c>
      <c r="Q223" s="158">
        <v>-9.0</v>
      </c>
      <c r="R223" s="158">
        <v>-10.0</v>
      </c>
      <c r="S223" s="158">
        <v>-11.0</v>
      </c>
      <c r="T223" s="158">
        <v>-12.0</v>
      </c>
      <c r="U223" s="158">
        <v>-13.0</v>
      </c>
      <c r="V223" s="158">
        <v>-14.0</v>
      </c>
      <c r="W223" s="158">
        <v>-15.0</v>
      </c>
      <c r="X223" s="158">
        <v>-16.0</v>
      </c>
      <c r="Y223" s="158">
        <v>-17.0</v>
      </c>
    </row>
    <row r="224" ht="14.25" customHeight="1">
      <c r="B224" s="35"/>
      <c r="C224" s="35"/>
      <c r="D224" s="35"/>
      <c r="E224" s="35"/>
      <c r="F224" s="35"/>
      <c r="G224" s="35"/>
      <c r="H224" s="35"/>
      <c r="I224" s="35"/>
      <c r="J224" s="35"/>
      <c r="K224" s="35"/>
      <c r="L224" s="35"/>
      <c r="M224" s="35"/>
      <c r="N224" s="35"/>
      <c r="O224" s="35"/>
      <c r="P224" s="35"/>
      <c r="Q224" s="35"/>
      <c r="R224" s="35"/>
      <c r="S224" s="35"/>
      <c r="T224" s="35"/>
      <c r="U224" s="35"/>
      <c r="V224" s="35"/>
      <c r="W224" s="35"/>
      <c r="X224" s="35"/>
      <c r="Y224" s="35"/>
    </row>
    <row r="225" ht="14.25" customHeight="1">
      <c r="B225" s="39" t="s">
        <v>281</v>
      </c>
      <c r="C225" s="39"/>
      <c r="D225" s="77"/>
      <c r="E225" s="77"/>
      <c r="F225" s="77"/>
      <c r="G225" s="77"/>
      <c r="H225" s="77"/>
      <c r="I225" s="159">
        <f t="shared" ref="I225:I232" si="190">N225</f>
        <v>3</v>
      </c>
      <c r="J225" s="103" t="s">
        <v>85</v>
      </c>
      <c r="K225" s="39">
        <f t="shared" ref="K225:Q225" si="187">SUM(K226:K227)</f>
        <v>0</v>
      </c>
      <c r="L225" s="39">
        <f t="shared" si="187"/>
        <v>0</v>
      </c>
      <c r="M225" s="60">
        <f t="shared" si="187"/>
        <v>0</v>
      </c>
      <c r="N225" s="160">
        <f t="shared" si="187"/>
        <v>3</v>
      </c>
      <c r="O225" s="62">
        <f t="shared" si="187"/>
        <v>0</v>
      </c>
      <c r="P225" s="39">
        <f t="shared" si="187"/>
        <v>0</v>
      </c>
      <c r="Q225" s="39">
        <f t="shared" si="187"/>
        <v>0</v>
      </c>
      <c r="R225" s="160"/>
      <c r="S225" s="46">
        <f t="shared" ref="S225:U225" si="188">IF(K225=0,0,IF((O225/K225*100)&gt;120,120,O225/K225*100))</f>
        <v>0</v>
      </c>
      <c r="T225" s="46">
        <f t="shared" si="188"/>
        <v>0</v>
      </c>
      <c r="U225" s="46">
        <f t="shared" si="188"/>
        <v>0</v>
      </c>
      <c r="V225" s="46">
        <f t="shared" ref="V225:Y225" si="189">IF($N225=0,0,IF((O225/$N225*100)&gt;120,120,O225/$N225*100))</f>
        <v>0</v>
      </c>
      <c r="W225" s="46">
        <f t="shared" si="189"/>
        <v>0</v>
      </c>
      <c r="X225" s="46">
        <f t="shared" si="189"/>
        <v>0</v>
      </c>
      <c r="Y225" s="46">
        <f t="shared" si="189"/>
        <v>0</v>
      </c>
    </row>
    <row r="226" ht="14.25" customHeight="1">
      <c r="B226" s="39"/>
      <c r="C226" s="109" t="s">
        <v>282</v>
      </c>
      <c r="D226" s="77"/>
      <c r="E226" s="77"/>
      <c r="F226" s="77"/>
      <c r="G226" s="77"/>
      <c r="H226" s="77"/>
      <c r="I226" s="159">
        <f t="shared" si="190"/>
        <v>3</v>
      </c>
      <c r="J226" s="110" t="s">
        <v>87</v>
      </c>
      <c r="K226" s="42">
        <v>0.0</v>
      </c>
      <c r="L226" s="42">
        <v>0.0</v>
      </c>
      <c r="M226" s="42">
        <v>0.0</v>
      </c>
      <c r="N226" s="42">
        <v>3.0</v>
      </c>
      <c r="O226" s="42">
        <v>0.0</v>
      </c>
      <c r="P226" s="42">
        <v>0.0</v>
      </c>
      <c r="Q226" s="253">
        <v>0.0</v>
      </c>
      <c r="R226" s="42"/>
      <c r="S226" s="46">
        <f t="shared" ref="S226:U226" si="191">IF(K226=0,0,IF((O226/K226*100)&gt;120,120,O226/K226*100))</f>
        <v>0</v>
      </c>
      <c r="T226" s="46">
        <f t="shared" si="191"/>
        <v>0</v>
      </c>
      <c r="U226" s="46">
        <f t="shared" si="191"/>
        <v>0</v>
      </c>
      <c r="V226" s="46">
        <f t="shared" ref="V226:Y226" si="192">IF($N226=0,0,IF((O226/$N226*100)&gt;120,120,O226/$N226*100))</f>
        <v>0</v>
      </c>
      <c r="W226" s="46">
        <f t="shared" si="192"/>
        <v>0</v>
      </c>
      <c r="X226" s="46">
        <f t="shared" si="192"/>
        <v>0</v>
      </c>
      <c r="Y226" s="46">
        <f t="shared" si="192"/>
        <v>0</v>
      </c>
    </row>
    <row r="227" ht="14.25" customHeight="1">
      <c r="B227" s="39"/>
      <c r="C227" s="109" t="s">
        <v>283</v>
      </c>
      <c r="D227" s="77"/>
      <c r="E227" s="77"/>
      <c r="F227" s="77"/>
      <c r="G227" s="77"/>
      <c r="H227" s="77"/>
      <c r="I227" s="159">
        <f t="shared" si="190"/>
        <v>0</v>
      </c>
      <c r="J227" s="110" t="s">
        <v>66</v>
      </c>
      <c r="K227" s="42">
        <v>0.0</v>
      </c>
      <c r="L227" s="42">
        <v>0.0</v>
      </c>
      <c r="M227" s="42">
        <v>0.0</v>
      </c>
      <c r="N227" s="42">
        <v>0.0</v>
      </c>
      <c r="O227" s="42">
        <v>0.0</v>
      </c>
      <c r="P227" s="42">
        <v>0.0</v>
      </c>
      <c r="Q227" s="253">
        <v>0.0</v>
      </c>
      <c r="R227" s="42"/>
      <c r="S227" s="46">
        <f t="shared" ref="S227:U227" si="193">IF(K227=0,0,IF((O227/K227*100)&gt;120,120,O227/K227*100))</f>
        <v>0</v>
      </c>
      <c r="T227" s="46">
        <f t="shared" si="193"/>
        <v>0</v>
      </c>
      <c r="U227" s="46">
        <f t="shared" si="193"/>
        <v>0</v>
      </c>
      <c r="V227" s="46">
        <f t="shared" ref="V227:Y227" si="194">IF($N227=0,0,IF((O227/$N227*100)&gt;120,120,O227/$N227*100))</f>
        <v>0</v>
      </c>
      <c r="W227" s="46">
        <f t="shared" si="194"/>
        <v>0</v>
      </c>
      <c r="X227" s="46">
        <f t="shared" si="194"/>
        <v>0</v>
      </c>
      <c r="Y227" s="46">
        <f t="shared" si="194"/>
        <v>0</v>
      </c>
    </row>
    <row r="228" ht="14.25" customHeight="1">
      <c r="B228" s="39" t="s">
        <v>284</v>
      </c>
      <c r="C228" s="39"/>
      <c r="D228" s="77"/>
      <c r="E228" s="77"/>
      <c r="F228" s="77"/>
      <c r="G228" s="77"/>
      <c r="H228" s="77"/>
      <c r="I228" s="159">
        <f t="shared" si="190"/>
        <v>3</v>
      </c>
      <c r="J228" s="103" t="s">
        <v>85</v>
      </c>
      <c r="K228" s="39">
        <f t="shared" ref="K228:P228" si="195">SUM(K229:K230)</f>
        <v>0</v>
      </c>
      <c r="L228" s="39">
        <f t="shared" si="195"/>
        <v>0</v>
      </c>
      <c r="M228" s="60">
        <f t="shared" si="195"/>
        <v>0</v>
      </c>
      <c r="N228" s="160">
        <f t="shared" si="195"/>
        <v>3</v>
      </c>
      <c r="O228" s="62">
        <f t="shared" si="195"/>
        <v>0</v>
      </c>
      <c r="P228" s="39">
        <f t="shared" si="195"/>
        <v>0</v>
      </c>
      <c r="Q228" s="275">
        <v>0.0</v>
      </c>
      <c r="R228" s="39"/>
      <c r="S228" s="46">
        <f t="shared" ref="S228:U228" si="196">IF(K228=0,0,IF((O228/K228*100)&gt;120,120,O228/K228*100))</f>
        <v>0</v>
      </c>
      <c r="T228" s="46">
        <f t="shared" si="196"/>
        <v>0</v>
      </c>
      <c r="U228" s="46">
        <f t="shared" si="196"/>
        <v>0</v>
      </c>
      <c r="V228" s="46">
        <f t="shared" ref="V228:Y228" si="197">IF($N228=0,0,IF((O228/$N228*100)&gt;120,120,O228/$N228*100))</f>
        <v>0</v>
      </c>
      <c r="W228" s="46">
        <f t="shared" si="197"/>
        <v>0</v>
      </c>
      <c r="X228" s="46">
        <f t="shared" si="197"/>
        <v>0</v>
      </c>
      <c r="Y228" s="46">
        <f t="shared" si="197"/>
        <v>0</v>
      </c>
    </row>
    <row r="229" ht="14.25" customHeight="1">
      <c r="B229" s="39"/>
      <c r="C229" s="109" t="s">
        <v>285</v>
      </c>
      <c r="D229" s="77"/>
      <c r="E229" s="77"/>
      <c r="F229" s="77"/>
      <c r="G229" s="77"/>
      <c r="H229" s="77"/>
      <c r="I229" s="159">
        <f t="shared" si="190"/>
        <v>3</v>
      </c>
      <c r="J229" s="110" t="s">
        <v>87</v>
      </c>
      <c r="K229" s="42">
        <v>0.0</v>
      </c>
      <c r="L229" s="42">
        <v>0.0</v>
      </c>
      <c r="M229" s="42">
        <v>0.0</v>
      </c>
      <c r="N229" s="42">
        <v>3.0</v>
      </c>
      <c r="O229" s="42">
        <v>0.0</v>
      </c>
      <c r="P229" s="42">
        <v>0.0</v>
      </c>
      <c r="Q229" s="253">
        <v>0.0</v>
      </c>
      <c r="R229" s="42"/>
      <c r="S229" s="46">
        <f t="shared" ref="S229:U229" si="198">IF(K229=0,0,IF((O229/K229*100)&gt;120,120,O229/K229*100))</f>
        <v>0</v>
      </c>
      <c r="T229" s="46">
        <f t="shared" si="198"/>
        <v>0</v>
      </c>
      <c r="U229" s="46">
        <f t="shared" si="198"/>
        <v>0</v>
      </c>
      <c r="V229" s="46">
        <f t="shared" ref="V229:Y229" si="199">IF($N229=0,0,IF((O229/$N229*100)&gt;120,120,O229/$N229*100))</f>
        <v>0</v>
      </c>
      <c r="W229" s="46">
        <f t="shared" si="199"/>
        <v>0</v>
      </c>
      <c r="X229" s="46">
        <f t="shared" si="199"/>
        <v>0</v>
      </c>
      <c r="Y229" s="46">
        <f t="shared" si="199"/>
        <v>0</v>
      </c>
    </row>
    <row r="230" ht="14.25" customHeight="1">
      <c r="B230" s="39"/>
      <c r="C230" s="109" t="s">
        <v>286</v>
      </c>
      <c r="D230" s="77"/>
      <c r="E230" s="77"/>
      <c r="F230" s="77"/>
      <c r="G230" s="77"/>
      <c r="H230" s="77"/>
      <c r="I230" s="159">
        <f t="shared" si="190"/>
        <v>0</v>
      </c>
      <c r="J230" s="110" t="s">
        <v>66</v>
      </c>
      <c r="K230" s="42">
        <v>0.0</v>
      </c>
      <c r="L230" s="42">
        <v>0.0</v>
      </c>
      <c r="M230" s="42">
        <v>0.0</v>
      </c>
      <c r="N230" s="42">
        <v>0.0</v>
      </c>
      <c r="O230" s="42">
        <v>0.0</v>
      </c>
      <c r="P230" s="42">
        <v>0.0</v>
      </c>
      <c r="Q230" s="253">
        <v>0.0</v>
      </c>
      <c r="R230" s="42"/>
      <c r="S230" s="46">
        <f t="shared" ref="S230:U230" si="200">IF(K230=0,0,IF((O230/K230*100)&gt;120,120,O230/K230*100))</f>
        <v>0</v>
      </c>
      <c r="T230" s="46">
        <f t="shared" si="200"/>
        <v>0</v>
      </c>
      <c r="U230" s="46">
        <f t="shared" si="200"/>
        <v>0</v>
      </c>
      <c r="V230" s="46">
        <f t="shared" ref="V230:Y230" si="201">IF($N230=0,0,IF((O230/$N230*100)&gt;120,120,O230/$N230*100))</f>
        <v>0</v>
      </c>
      <c r="W230" s="46">
        <f t="shared" si="201"/>
        <v>0</v>
      </c>
      <c r="X230" s="46">
        <f t="shared" si="201"/>
        <v>0</v>
      </c>
      <c r="Y230" s="46">
        <f t="shared" si="201"/>
        <v>0</v>
      </c>
    </row>
    <row r="231" ht="14.25" customHeight="1">
      <c r="B231" s="39" t="s">
        <v>287</v>
      </c>
      <c r="C231" s="39"/>
      <c r="D231" s="77"/>
      <c r="E231" s="77"/>
      <c r="F231" s="77"/>
      <c r="G231" s="77"/>
      <c r="H231" s="77"/>
      <c r="I231" s="159">
        <f t="shared" si="190"/>
        <v>0</v>
      </c>
      <c r="J231" s="103" t="s">
        <v>87</v>
      </c>
      <c r="K231" s="42">
        <v>0.0</v>
      </c>
      <c r="L231" s="42">
        <v>0.0</v>
      </c>
      <c r="M231" s="42">
        <v>0.0</v>
      </c>
      <c r="N231" s="42">
        <v>0.0</v>
      </c>
      <c r="O231" s="42">
        <v>0.0</v>
      </c>
      <c r="P231" s="253">
        <v>0.0</v>
      </c>
      <c r="Q231" s="253">
        <v>0.0</v>
      </c>
      <c r="R231" s="42"/>
      <c r="S231" s="46">
        <f t="shared" ref="S231:U231" si="202">IF(K231=0,0,IF((O231/K231*100)&gt;120,120,O231/K231*100))</f>
        <v>0</v>
      </c>
      <c r="T231" s="46">
        <f t="shared" si="202"/>
        <v>0</v>
      </c>
      <c r="U231" s="46">
        <f t="shared" si="202"/>
        <v>0</v>
      </c>
      <c r="V231" s="46">
        <f t="shared" ref="V231:Y231" si="203">IF($N231=0,0,IF((O231/$N231*100)&gt;120,120,O231/$N231*100))</f>
        <v>0</v>
      </c>
      <c r="W231" s="46">
        <f t="shared" si="203"/>
        <v>0</v>
      </c>
      <c r="X231" s="46">
        <f t="shared" si="203"/>
        <v>0</v>
      </c>
      <c r="Y231" s="46">
        <f t="shared" si="203"/>
        <v>0</v>
      </c>
    </row>
    <row r="232" ht="14.25" customHeight="1">
      <c r="B232" s="39" t="s">
        <v>288</v>
      </c>
      <c r="C232" s="39"/>
      <c r="D232" s="77"/>
      <c r="E232" s="77"/>
      <c r="F232" s="77"/>
      <c r="G232" s="77"/>
      <c r="H232" s="77"/>
      <c r="I232" s="159">
        <f t="shared" si="190"/>
        <v>0</v>
      </c>
      <c r="J232" s="103" t="s">
        <v>95</v>
      </c>
      <c r="K232" s="42">
        <v>0.0</v>
      </c>
      <c r="L232" s="301">
        <v>0.0</v>
      </c>
      <c r="M232" s="301">
        <v>0.0</v>
      </c>
      <c r="N232" s="301">
        <v>0.0</v>
      </c>
      <c r="O232" s="301">
        <v>0.0</v>
      </c>
      <c r="P232" s="301">
        <v>0.0</v>
      </c>
      <c r="Q232" s="302">
        <v>0.0</v>
      </c>
      <c r="R232" s="42"/>
      <c r="S232" s="46">
        <f t="shared" ref="S232:U232" si="204">IF(K232=0,0,IF((O232/K232*100)&gt;120,120,O232/K232*100))</f>
        <v>0</v>
      </c>
      <c r="T232" s="46">
        <f t="shared" si="204"/>
        <v>0</v>
      </c>
      <c r="U232" s="46">
        <f t="shared" si="204"/>
        <v>0</v>
      </c>
      <c r="V232" s="46">
        <f t="shared" ref="V232:Y232" si="205">IF($N232=0,0,IF((O232/$N232*100)&gt;120,120,O232/$N232*100))</f>
        <v>0</v>
      </c>
      <c r="W232" s="46">
        <f t="shared" si="205"/>
        <v>0</v>
      </c>
      <c r="X232" s="46">
        <f t="shared" si="205"/>
        <v>0</v>
      </c>
      <c r="Y232" s="46">
        <f t="shared" si="205"/>
        <v>0</v>
      </c>
    </row>
    <row r="233" ht="14.25" customHeight="1">
      <c r="B233" s="39" t="s">
        <v>289</v>
      </c>
      <c r="C233" s="39"/>
      <c r="D233" s="77"/>
      <c r="E233" s="77"/>
      <c r="F233" s="77"/>
      <c r="G233" s="77"/>
      <c r="H233" s="77"/>
      <c r="I233" s="159"/>
      <c r="J233" s="103" t="s">
        <v>35</v>
      </c>
      <c r="K233" s="303">
        <f t="shared" ref="K233:N233" si="206">IF($I234+$I239=0,0,AVERAGE(IF($I234&gt;0,K234/$I234*100,0),IF($I239&gt;0,K239/$I239*100,0)))</f>
        <v>2.030651341</v>
      </c>
      <c r="L233" s="304">
        <f t="shared" si="206"/>
        <v>51.47002479</v>
      </c>
      <c r="M233" s="304">
        <f t="shared" si="206"/>
        <v>90.22988506</v>
      </c>
      <c r="N233" s="304">
        <f t="shared" si="206"/>
        <v>98.16091954</v>
      </c>
      <c r="O233" s="304">
        <f t="shared" ref="O233:Q233" si="207">IF($I234+$I239+$I244=0,0,AVERAGE(IF($I234&gt;0,O234/$I234*100,0),IF($I239&gt;0,O239/$I239*100,0)))</f>
        <v>2.030651341</v>
      </c>
      <c r="P233" s="304">
        <f t="shared" si="207"/>
        <v>49.78420104</v>
      </c>
      <c r="Q233" s="304">
        <f t="shared" si="207"/>
        <v>84.44444444</v>
      </c>
      <c r="R233" s="305"/>
      <c r="S233" s="46">
        <f t="shared" ref="S233:U233" si="208">IF(K233=0,0,IF((O233/K233*100)&gt;120,120,O233/K233*100))</f>
        <v>100</v>
      </c>
      <c r="T233" s="46">
        <f t="shared" si="208"/>
        <v>96.72464942</v>
      </c>
      <c r="U233" s="46">
        <f t="shared" si="208"/>
        <v>93.5881104</v>
      </c>
      <c r="V233" s="46">
        <f t="shared" ref="V233:Y233" si="209">IF($N233=0,0,IF((O233/$N233*100)&gt;120,120,O233/$N233*100))</f>
        <v>2.068696331</v>
      </c>
      <c r="W233" s="46">
        <f t="shared" si="209"/>
        <v>50.71692611</v>
      </c>
      <c r="X233" s="46">
        <f t="shared" si="209"/>
        <v>86.02654176</v>
      </c>
      <c r="Y233" s="46">
        <f t="shared" si="209"/>
        <v>0</v>
      </c>
    </row>
    <row r="234" ht="14.25" customHeight="1">
      <c r="B234" s="39"/>
      <c r="C234" s="109" t="s">
        <v>290</v>
      </c>
      <c r="D234" s="77"/>
      <c r="E234" s="77"/>
      <c r="F234" s="77"/>
      <c r="G234" s="77"/>
      <c r="H234" s="77"/>
      <c r="I234" s="42">
        <f>SUM(I235:I238)</f>
        <v>68</v>
      </c>
      <c r="J234" s="110" t="s">
        <v>98</v>
      </c>
      <c r="K234" s="306">
        <f t="shared" ref="K234:Q234" si="210">SUM(K235:K238)</f>
        <v>0</v>
      </c>
      <c r="L234" s="307">
        <f t="shared" si="210"/>
        <v>49</v>
      </c>
      <c r="M234" s="307">
        <f t="shared" si="210"/>
        <v>68</v>
      </c>
      <c r="N234" s="307">
        <f t="shared" si="210"/>
        <v>68</v>
      </c>
      <c r="O234" s="307">
        <f t="shared" si="210"/>
        <v>0</v>
      </c>
      <c r="P234" s="307">
        <f t="shared" si="210"/>
        <v>49</v>
      </c>
      <c r="Q234" s="307">
        <f t="shared" si="210"/>
        <v>68</v>
      </c>
      <c r="R234" s="308"/>
      <c r="S234" s="111"/>
      <c r="T234" s="111"/>
      <c r="U234" s="111"/>
      <c r="V234" s="111"/>
      <c r="W234" s="111"/>
      <c r="X234" s="111"/>
      <c r="Y234" s="111"/>
    </row>
    <row r="235" ht="14.25" customHeight="1">
      <c r="B235" s="39"/>
      <c r="C235" s="109"/>
      <c r="D235" s="309" t="s">
        <v>291</v>
      </c>
      <c r="E235" s="77"/>
      <c r="F235" s="77"/>
      <c r="G235" s="77"/>
      <c r="H235" s="77"/>
      <c r="I235" s="310">
        <v>68.0</v>
      </c>
      <c r="J235" s="311" t="s">
        <v>98</v>
      </c>
      <c r="K235" s="312">
        <v>0.0</v>
      </c>
      <c r="L235" s="313">
        <v>49.0</v>
      </c>
      <c r="M235" s="314">
        <v>68.0</v>
      </c>
      <c r="N235" s="313">
        <v>68.0</v>
      </c>
      <c r="O235" s="313">
        <v>0.0</v>
      </c>
      <c r="P235" s="313">
        <v>49.0</v>
      </c>
      <c r="Q235" s="314">
        <v>68.0</v>
      </c>
      <c r="R235" s="315"/>
      <c r="S235" s="111"/>
      <c r="T235" s="111"/>
      <c r="U235" s="111"/>
      <c r="V235" s="111"/>
      <c r="W235" s="111"/>
      <c r="X235" s="111"/>
      <c r="Y235" s="111"/>
    </row>
    <row r="236" ht="14.25" customHeight="1">
      <c r="B236" s="39"/>
      <c r="C236" s="109"/>
      <c r="D236" s="77" t="s">
        <v>246</v>
      </c>
      <c r="E236" s="77"/>
      <c r="F236" s="77"/>
      <c r="G236" s="77"/>
      <c r="H236" s="77"/>
      <c r="I236" s="42"/>
      <c r="J236" s="110" t="s">
        <v>98</v>
      </c>
      <c r="K236" s="306"/>
      <c r="L236" s="307"/>
      <c r="M236" s="307"/>
      <c r="N236" s="307"/>
      <c r="O236" s="307"/>
      <c r="P236" s="307"/>
      <c r="Q236" s="307"/>
      <c r="R236" s="308"/>
      <c r="S236" s="111"/>
      <c r="T236" s="111"/>
      <c r="U236" s="111"/>
      <c r="V236" s="111"/>
      <c r="W236" s="111"/>
      <c r="X236" s="111"/>
      <c r="Y236" s="111"/>
    </row>
    <row r="237" ht="14.25" customHeight="1">
      <c r="B237" s="39"/>
      <c r="C237" s="109"/>
      <c r="D237" s="77" t="s">
        <v>246</v>
      </c>
      <c r="E237" s="77"/>
      <c r="F237" s="77"/>
      <c r="G237" s="77"/>
      <c r="H237" s="77"/>
      <c r="I237" s="42"/>
      <c r="J237" s="110" t="s">
        <v>98</v>
      </c>
      <c r="K237" s="306"/>
      <c r="L237" s="307"/>
      <c r="M237" s="307"/>
      <c r="N237" s="307"/>
      <c r="O237" s="307"/>
      <c r="P237" s="307"/>
      <c r="Q237" s="307"/>
      <c r="R237" s="308"/>
      <c r="S237" s="111"/>
      <c r="T237" s="111"/>
      <c r="U237" s="111"/>
      <c r="V237" s="111"/>
      <c r="W237" s="111"/>
      <c r="X237" s="111"/>
      <c r="Y237" s="111"/>
    </row>
    <row r="238" ht="14.25" customHeight="1">
      <c r="B238" s="39"/>
      <c r="C238" s="109"/>
      <c r="D238" s="77" t="s">
        <v>246</v>
      </c>
      <c r="E238" s="77"/>
      <c r="F238" s="77"/>
      <c r="G238" s="77"/>
      <c r="H238" s="77"/>
      <c r="I238" s="42"/>
      <c r="J238" s="110" t="s">
        <v>98</v>
      </c>
      <c r="K238" s="306"/>
      <c r="L238" s="307"/>
      <c r="M238" s="307"/>
      <c r="N238" s="307"/>
      <c r="O238" s="307"/>
      <c r="P238" s="307"/>
      <c r="Q238" s="307"/>
      <c r="R238" s="316"/>
      <c r="S238" s="111"/>
      <c r="T238" s="111"/>
      <c r="U238" s="111"/>
      <c r="V238" s="111"/>
      <c r="W238" s="111"/>
      <c r="X238" s="111"/>
      <c r="Y238" s="111"/>
    </row>
    <row r="239" ht="14.25" customHeight="1">
      <c r="B239" s="39"/>
      <c r="C239" s="109" t="s">
        <v>292</v>
      </c>
      <c r="D239" s="77"/>
      <c r="E239" s="77"/>
      <c r="F239" s="77"/>
      <c r="G239" s="77"/>
      <c r="H239" s="77"/>
      <c r="I239" s="42">
        <f>SUM(I240:I243)</f>
        <v>1305</v>
      </c>
      <c r="J239" s="110" t="s">
        <v>98</v>
      </c>
      <c r="K239" s="306">
        <f t="shared" ref="K239:Q239" si="211">SUM(K240:K243)</f>
        <v>53</v>
      </c>
      <c r="L239" s="307">
        <f t="shared" si="211"/>
        <v>403</v>
      </c>
      <c r="M239" s="307">
        <f t="shared" si="211"/>
        <v>1050</v>
      </c>
      <c r="N239" s="307">
        <f t="shared" si="211"/>
        <v>1257</v>
      </c>
      <c r="O239" s="307">
        <f t="shared" si="211"/>
        <v>53</v>
      </c>
      <c r="P239" s="307">
        <f t="shared" si="211"/>
        <v>359</v>
      </c>
      <c r="Q239" s="307">
        <f t="shared" si="211"/>
        <v>899</v>
      </c>
      <c r="R239" s="307"/>
      <c r="S239" s="317"/>
      <c r="T239" s="111"/>
      <c r="U239" s="111"/>
      <c r="V239" s="111"/>
      <c r="W239" s="111"/>
      <c r="X239" s="111"/>
      <c r="Y239" s="111"/>
    </row>
    <row r="240" ht="14.25" customHeight="1">
      <c r="B240" s="39"/>
      <c r="C240" s="109"/>
      <c r="D240" s="309" t="s">
        <v>293</v>
      </c>
      <c r="E240" s="77"/>
      <c r="F240" s="77"/>
      <c r="G240" s="77"/>
      <c r="H240" s="77"/>
      <c r="I240" s="278">
        <v>180.0</v>
      </c>
      <c r="J240" s="311" t="s">
        <v>98</v>
      </c>
      <c r="K240" s="312">
        <v>53.0</v>
      </c>
      <c r="L240" s="313">
        <v>98.0</v>
      </c>
      <c r="M240" s="313">
        <v>137.0</v>
      </c>
      <c r="N240" s="313">
        <v>179.0</v>
      </c>
      <c r="O240" s="314">
        <v>53.0</v>
      </c>
      <c r="P240" s="318">
        <v>68.0</v>
      </c>
      <c r="Q240" s="314">
        <v>99.0</v>
      </c>
      <c r="R240" s="313"/>
      <c r="S240" s="317"/>
      <c r="T240" s="111"/>
      <c r="U240" s="111"/>
      <c r="V240" s="111"/>
      <c r="W240" s="111"/>
      <c r="X240" s="111"/>
      <c r="Y240" s="111"/>
    </row>
    <row r="241" ht="14.25" customHeight="1">
      <c r="B241" s="39"/>
      <c r="C241" s="109"/>
      <c r="D241" s="309" t="s">
        <v>294</v>
      </c>
      <c r="E241" s="77"/>
      <c r="F241" s="77"/>
      <c r="G241" s="77"/>
      <c r="H241" s="77"/>
      <c r="I241" s="278">
        <v>206.0</v>
      </c>
      <c r="J241" s="311" t="s">
        <v>98</v>
      </c>
      <c r="K241" s="312">
        <v>0.0</v>
      </c>
      <c r="L241" s="313">
        <v>30.0</v>
      </c>
      <c r="M241" s="313">
        <v>125.0</v>
      </c>
      <c r="N241" s="313">
        <v>180.0</v>
      </c>
      <c r="O241" s="313">
        <v>0.0</v>
      </c>
      <c r="P241" s="313">
        <v>19.0</v>
      </c>
      <c r="Q241" s="314">
        <v>119.0</v>
      </c>
      <c r="R241" s="313"/>
      <c r="S241" s="317"/>
      <c r="T241" s="111"/>
      <c r="U241" s="111"/>
      <c r="V241" s="111"/>
      <c r="W241" s="111"/>
      <c r="X241" s="111"/>
      <c r="Y241" s="111"/>
    </row>
    <row r="242" ht="14.25" customHeight="1">
      <c r="B242" s="39"/>
      <c r="C242" s="109"/>
      <c r="D242" s="77" t="s">
        <v>295</v>
      </c>
      <c r="E242" s="77"/>
      <c r="F242" s="77"/>
      <c r="G242" s="77"/>
      <c r="H242" s="77"/>
      <c r="I242" s="253">
        <v>570.0</v>
      </c>
      <c r="J242" s="110" t="s">
        <v>98</v>
      </c>
      <c r="K242" s="306">
        <v>0.0</v>
      </c>
      <c r="L242" s="307">
        <v>175.0</v>
      </c>
      <c r="M242" s="307">
        <v>570.0</v>
      </c>
      <c r="N242" s="307">
        <v>570.0</v>
      </c>
      <c r="O242" s="307">
        <v>0.0</v>
      </c>
      <c r="P242" s="307">
        <v>178.0</v>
      </c>
      <c r="Q242" s="318">
        <v>570.0</v>
      </c>
      <c r="R242" s="307"/>
      <c r="S242" s="317"/>
      <c r="T242" s="111"/>
      <c r="U242" s="111"/>
      <c r="V242" s="111"/>
      <c r="W242" s="111"/>
      <c r="X242" s="111"/>
      <c r="Y242" s="111"/>
    </row>
    <row r="243" ht="14.25" customHeight="1">
      <c r="B243" s="39"/>
      <c r="C243" s="109"/>
      <c r="D243" s="77" t="s">
        <v>296</v>
      </c>
      <c r="E243" s="77"/>
      <c r="F243" s="77"/>
      <c r="G243" s="77"/>
      <c r="H243" s="77"/>
      <c r="I243" s="253">
        <v>349.0</v>
      </c>
      <c r="J243" s="110" t="s">
        <v>98</v>
      </c>
      <c r="K243" s="306">
        <v>0.0</v>
      </c>
      <c r="L243" s="307">
        <v>100.0</v>
      </c>
      <c r="M243" s="307">
        <v>218.0</v>
      </c>
      <c r="N243" s="307">
        <v>328.0</v>
      </c>
      <c r="O243" s="307">
        <v>0.0</v>
      </c>
      <c r="P243" s="307">
        <v>94.0</v>
      </c>
      <c r="Q243" s="318">
        <v>111.0</v>
      </c>
      <c r="R243" s="319"/>
      <c r="S243" s="111"/>
      <c r="T243" s="111"/>
      <c r="U243" s="111"/>
      <c r="V243" s="111"/>
      <c r="W243" s="111"/>
      <c r="X243" s="111"/>
      <c r="Y243" s="111"/>
    </row>
    <row r="244" ht="14.25" customHeight="1">
      <c r="B244" s="39"/>
      <c r="C244" s="109" t="s">
        <v>297</v>
      </c>
      <c r="D244" s="77"/>
      <c r="E244" s="77"/>
      <c r="F244" s="77"/>
      <c r="G244" s="77"/>
      <c r="H244" s="77"/>
      <c r="I244" s="42">
        <f>SUM(I245:I248)</f>
        <v>0</v>
      </c>
      <c r="J244" s="110" t="s">
        <v>98</v>
      </c>
      <c r="K244" s="42">
        <f t="shared" ref="K244:P244" si="212">SUM(K245:K248)</f>
        <v>0</v>
      </c>
      <c r="L244" s="320">
        <f t="shared" si="212"/>
        <v>0</v>
      </c>
      <c r="M244" s="320">
        <f t="shared" si="212"/>
        <v>0</v>
      </c>
      <c r="N244" s="320">
        <f t="shared" si="212"/>
        <v>0</v>
      </c>
      <c r="O244" s="320">
        <f t="shared" si="212"/>
        <v>0</v>
      </c>
      <c r="P244" s="320">
        <f t="shared" si="212"/>
        <v>0</v>
      </c>
      <c r="Q244" s="320"/>
      <c r="R244" s="42"/>
      <c r="S244" s="111"/>
      <c r="T244" s="111"/>
      <c r="U244" s="111"/>
      <c r="V244" s="111"/>
      <c r="W244" s="111"/>
      <c r="X244" s="111"/>
      <c r="Y244" s="111"/>
    </row>
    <row r="245" ht="14.25" customHeight="1">
      <c r="B245" s="39"/>
      <c r="C245" s="109"/>
      <c r="D245" s="77" t="s">
        <v>246</v>
      </c>
      <c r="E245" s="77"/>
      <c r="F245" s="77"/>
      <c r="G245" s="77"/>
      <c r="H245" s="77"/>
      <c r="I245" s="42"/>
      <c r="J245" s="110" t="s">
        <v>98</v>
      </c>
      <c r="K245" s="42"/>
      <c r="L245" s="42"/>
      <c r="M245" s="42"/>
      <c r="N245" s="42"/>
      <c r="O245" s="42"/>
      <c r="P245" s="42"/>
      <c r="Q245" s="42"/>
      <c r="R245" s="42"/>
      <c r="S245" s="111"/>
      <c r="T245" s="111"/>
      <c r="U245" s="111"/>
      <c r="V245" s="111"/>
      <c r="W245" s="111"/>
      <c r="X245" s="111"/>
      <c r="Y245" s="111"/>
    </row>
    <row r="246" ht="14.25" customHeight="1">
      <c r="B246" s="39"/>
      <c r="C246" s="109"/>
      <c r="D246" s="77" t="s">
        <v>246</v>
      </c>
      <c r="E246" s="77"/>
      <c r="F246" s="77"/>
      <c r="G246" s="77"/>
      <c r="H246" s="77"/>
      <c r="I246" s="42"/>
      <c r="J246" s="110" t="s">
        <v>98</v>
      </c>
      <c r="K246" s="42"/>
      <c r="L246" s="42"/>
      <c r="M246" s="42"/>
      <c r="N246" s="42"/>
      <c r="O246" s="42"/>
      <c r="P246" s="42"/>
      <c r="Q246" s="42"/>
      <c r="R246" s="42"/>
      <c r="S246" s="111"/>
      <c r="T246" s="111"/>
      <c r="U246" s="111"/>
      <c r="V246" s="111"/>
      <c r="W246" s="111"/>
      <c r="X246" s="111"/>
      <c r="Y246" s="111"/>
    </row>
    <row r="247" ht="14.25" customHeight="1">
      <c r="B247" s="39"/>
      <c r="C247" s="109"/>
      <c r="D247" s="77" t="s">
        <v>246</v>
      </c>
      <c r="E247" s="77"/>
      <c r="F247" s="77"/>
      <c r="G247" s="77"/>
      <c r="H247" s="77"/>
      <c r="I247" s="42"/>
      <c r="J247" s="110" t="s">
        <v>98</v>
      </c>
      <c r="K247" s="42"/>
      <c r="L247" s="42"/>
      <c r="M247" s="42"/>
      <c r="N247" s="42"/>
      <c r="O247" s="42"/>
      <c r="P247" s="42"/>
      <c r="Q247" s="42"/>
      <c r="R247" s="42"/>
      <c r="S247" s="111"/>
      <c r="T247" s="111"/>
      <c r="U247" s="111"/>
      <c r="V247" s="111"/>
      <c r="W247" s="111"/>
      <c r="X247" s="111"/>
      <c r="Y247" s="111"/>
    </row>
    <row r="248" ht="14.25" customHeight="1">
      <c r="B248" s="39"/>
      <c r="C248" s="109"/>
      <c r="D248" s="77" t="s">
        <v>246</v>
      </c>
      <c r="E248" s="77"/>
      <c r="F248" s="77"/>
      <c r="G248" s="77"/>
      <c r="H248" s="77"/>
      <c r="I248" s="42"/>
      <c r="J248" s="110" t="s">
        <v>98</v>
      </c>
      <c r="K248" s="42"/>
      <c r="L248" s="42"/>
      <c r="M248" s="42"/>
      <c r="N248" s="42"/>
      <c r="O248" s="42"/>
      <c r="P248" s="42"/>
      <c r="Q248" s="42"/>
      <c r="R248" s="42"/>
      <c r="S248" s="111"/>
      <c r="T248" s="111"/>
      <c r="U248" s="111"/>
      <c r="V248" s="111"/>
      <c r="W248" s="111"/>
      <c r="X248" s="111"/>
      <c r="Y248" s="111"/>
    </row>
    <row r="249" ht="14.25" customHeight="1">
      <c r="B249" s="39" t="s">
        <v>298</v>
      </c>
      <c r="C249" s="39"/>
      <c r="D249" s="77"/>
      <c r="E249" s="77"/>
      <c r="F249" s="77"/>
      <c r="G249" s="77"/>
      <c r="H249" s="77"/>
      <c r="I249" s="159"/>
      <c r="J249" s="103" t="s">
        <v>35</v>
      </c>
      <c r="K249" s="143">
        <f t="shared" ref="K249:Q249" si="213">K233</f>
        <v>2.030651341</v>
      </c>
      <c r="L249" s="143">
        <f t="shared" si="213"/>
        <v>51.47002479</v>
      </c>
      <c r="M249" s="143">
        <f t="shared" si="213"/>
        <v>90.22988506</v>
      </c>
      <c r="N249" s="143">
        <f t="shared" si="213"/>
        <v>98.16091954</v>
      </c>
      <c r="O249" s="143">
        <f t="shared" si="213"/>
        <v>2.030651341</v>
      </c>
      <c r="P249" s="143">
        <f t="shared" si="213"/>
        <v>49.78420104</v>
      </c>
      <c r="Q249" s="143">
        <f t="shared" si="213"/>
        <v>84.44444444</v>
      </c>
      <c r="R249" s="42"/>
      <c r="S249" s="46">
        <f t="shared" ref="S249:U249" si="214">IF(K249=0,0,IF((O249/K249*100)&gt;120,120,O249/K249*100))</f>
        <v>100</v>
      </c>
      <c r="T249" s="46">
        <f t="shared" si="214"/>
        <v>96.72464942</v>
      </c>
      <c r="U249" s="46">
        <f t="shared" si="214"/>
        <v>93.5881104</v>
      </c>
      <c r="V249" s="46">
        <f t="shared" ref="V249:Y249" si="215">IF($N249=0,0,IF((O249/$N249*100)&gt;120,120,O249/$N249*100))</f>
        <v>2.068696331</v>
      </c>
      <c r="W249" s="46">
        <f t="shared" si="215"/>
        <v>50.71692611</v>
      </c>
      <c r="X249" s="46">
        <f t="shared" si="215"/>
        <v>86.02654176</v>
      </c>
      <c r="Y249" s="46">
        <f t="shared" si="215"/>
        <v>0</v>
      </c>
    </row>
    <row r="250" ht="14.25" customHeight="1">
      <c r="B250" s="77"/>
      <c r="C250" s="77"/>
      <c r="D250" s="77"/>
      <c r="E250" s="77"/>
      <c r="F250" s="77"/>
      <c r="G250" s="77"/>
      <c r="H250" s="77"/>
      <c r="I250" s="77"/>
      <c r="J250" s="77"/>
      <c r="K250" s="77"/>
      <c r="L250" s="77"/>
      <c r="M250" s="77"/>
      <c r="N250" s="77"/>
      <c r="O250" s="77"/>
      <c r="Q250" s="77"/>
      <c r="R250" s="77"/>
      <c r="S250" s="77"/>
      <c r="T250" s="77"/>
      <c r="U250" s="77"/>
      <c r="V250" s="77"/>
      <c r="W250" s="77"/>
      <c r="X250" s="77"/>
      <c r="Y250" s="77"/>
    </row>
    <row r="251" ht="14.25" customHeight="1">
      <c r="B251" s="282"/>
      <c r="C251" s="283"/>
      <c r="D251" s="284"/>
      <c r="E251" s="284"/>
      <c r="F251" s="284"/>
      <c r="G251" s="285" t="s">
        <v>299</v>
      </c>
      <c r="H251" s="284"/>
      <c r="I251" s="284"/>
      <c r="J251" s="284"/>
      <c r="K251" s="286"/>
      <c r="L251" s="286"/>
      <c r="M251" s="286"/>
      <c r="N251" s="286"/>
      <c r="O251" s="321"/>
      <c r="P251" s="322"/>
      <c r="Q251" s="323"/>
      <c r="R251" s="286"/>
      <c r="S251" s="287">
        <f t="shared" ref="S251:U251" si="216">IF(SUM(K224:K233,K249)&gt;0,SUM(S224:S233,S249)/SUM(COUNTIF(K224:K233,"&gt;0"),COUNTIF(K249,"&gt;0")),0)</f>
        <v>100</v>
      </c>
      <c r="T251" s="287">
        <f t="shared" si="216"/>
        <v>96.72464942</v>
      </c>
      <c r="U251" s="287">
        <f t="shared" si="216"/>
        <v>93.5881104</v>
      </c>
      <c r="V251" s="287">
        <f t="shared" ref="V251:X251" si="217">SUM(V224:V249)/2</f>
        <v>2.068696331</v>
      </c>
      <c r="W251" s="287">
        <f t="shared" si="217"/>
        <v>50.71692611</v>
      </c>
      <c r="X251" s="287">
        <f t="shared" si="217"/>
        <v>86.02654176</v>
      </c>
      <c r="Y251" s="287">
        <f>SUM(Y224:Y249)/6</f>
        <v>0</v>
      </c>
    </row>
    <row r="252" ht="14.25" customHeight="1"/>
    <row r="253" ht="14.25" customHeight="1">
      <c r="K253" s="5"/>
    </row>
    <row r="254" ht="14.25" customHeight="1">
      <c r="B254" s="4" t="s">
        <v>300</v>
      </c>
      <c r="C254" s="5"/>
      <c r="D254" s="5"/>
      <c r="E254" s="5"/>
      <c r="F254" s="5"/>
      <c r="G254" s="5"/>
      <c r="H254" s="5"/>
      <c r="I254" s="5"/>
      <c r="J254" s="5"/>
      <c r="L254" s="5"/>
      <c r="M254" s="5"/>
      <c r="N254" s="6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</row>
    <row r="255" ht="15.75" customHeight="1">
      <c r="B255" s="169" t="s">
        <v>2</v>
      </c>
      <c r="C255" s="8"/>
      <c r="D255" s="8"/>
      <c r="E255" s="8"/>
      <c r="F255" s="8"/>
      <c r="G255" s="8"/>
      <c r="H255" s="8"/>
      <c r="I255" s="324"/>
      <c r="J255" s="171" t="s">
        <v>3</v>
      </c>
      <c r="K255" s="11"/>
      <c r="L255" s="11"/>
      <c r="M255" s="11"/>
      <c r="N255" s="11"/>
      <c r="O255" s="11"/>
      <c r="P255" s="11"/>
      <c r="Q255" s="11"/>
      <c r="R255" s="12"/>
      <c r="S255" s="171" t="s">
        <v>4</v>
      </c>
      <c r="T255" s="11"/>
      <c r="U255" s="11"/>
      <c r="V255" s="11"/>
      <c r="W255" s="11"/>
      <c r="X255" s="11"/>
      <c r="Y255" s="12"/>
    </row>
    <row r="256" ht="14.25" customHeight="1">
      <c r="B256" s="13"/>
      <c r="I256" s="92"/>
      <c r="J256" s="172" t="s">
        <v>5</v>
      </c>
      <c r="K256" s="173" t="s">
        <v>62</v>
      </c>
      <c r="L256" s="17"/>
      <c r="M256" s="17"/>
      <c r="N256" s="18"/>
      <c r="O256" s="173" t="s">
        <v>63</v>
      </c>
      <c r="P256" s="17"/>
      <c r="Q256" s="17"/>
      <c r="R256" s="18"/>
      <c r="S256" s="173" t="s">
        <v>64</v>
      </c>
      <c r="T256" s="17"/>
      <c r="U256" s="18"/>
      <c r="V256" s="173" t="s">
        <v>9</v>
      </c>
      <c r="W256" s="17"/>
      <c r="X256" s="17"/>
      <c r="Y256" s="18"/>
    </row>
    <row r="257" ht="14.25" customHeight="1">
      <c r="B257" s="19"/>
      <c r="C257" s="20"/>
      <c r="D257" s="20"/>
      <c r="E257" s="20"/>
      <c r="F257" s="20"/>
      <c r="G257" s="20"/>
      <c r="H257" s="20"/>
      <c r="I257" s="21"/>
      <c r="J257" s="22"/>
      <c r="K257" s="174" t="s">
        <v>10</v>
      </c>
      <c r="L257" s="174" t="s">
        <v>11</v>
      </c>
      <c r="M257" s="174" t="s">
        <v>12</v>
      </c>
      <c r="N257" s="174" t="s">
        <v>13</v>
      </c>
      <c r="O257" s="174" t="s">
        <v>10</v>
      </c>
      <c r="P257" s="174" t="s">
        <v>11</v>
      </c>
      <c r="Q257" s="174" t="s">
        <v>12</v>
      </c>
      <c r="R257" s="174" t="s">
        <v>13</v>
      </c>
      <c r="S257" s="174" t="s">
        <v>10</v>
      </c>
      <c r="T257" s="174" t="s">
        <v>11</v>
      </c>
      <c r="U257" s="174" t="s">
        <v>12</v>
      </c>
      <c r="V257" s="174" t="s">
        <v>10</v>
      </c>
      <c r="W257" s="174" t="s">
        <v>11</v>
      </c>
      <c r="X257" s="174" t="s">
        <v>12</v>
      </c>
      <c r="Y257" s="174" t="s">
        <v>13</v>
      </c>
    </row>
    <row r="258" ht="14.25" customHeight="1">
      <c r="B258" s="176">
        <v>-1.0</v>
      </c>
      <c r="C258" s="27"/>
      <c r="D258" s="27"/>
      <c r="E258" s="27"/>
      <c r="F258" s="27"/>
      <c r="G258" s="27"/>
      <c r="H258" s="27"/>
      <c r="I258" s="325"/>
      <c r="J258" s="177">
        <v>-2.0</v>
      </c>
      <c r="K258" s="177">
        <v>-3.0</v>
      </c>
      <c r="L258" s="177">
        <v>-4.0</v>
      </c>
      <c r="M258" s="177">
        <v>-5.0</v>
      </c>
      <c r="N258" s="177">
        <v>-6.0</v>
      </c>
      <c r="O258" s="177">
        <v>-7.0</v>
      </c>
      <c r="P258" s="177">
        <v>-8.0</v>
      </c>
      <c r="Q258" s="177">
        <v>-9.0</v>
      </c>
      <c r="R258" s="177">
        <v>-10.0</v>
      </c>
      <c r="S258" s="177">
        <v>-11.0</v>
      </c>
      <c r="T258" s="177">
        <v>-12.0</v>
      </c>
      <c r="U258" s="177">
        <v>-13.0</v>
      </c>
      <c r="V258" s="177">
        <v>-14.0</v>
      </c>
      <c r="W258" s="177">
        <v>-15.0</v>
      </c>
      <c r="X258" s="177">
        <v>-16.0</v>
      </c>
      <c r="Y258" s="177">
        <v>-17.0</v>
      </c>
    </row>
    <row r="259" ht="14.25" customHeight="1">
      <c r="B259" s="35"/>
      <c r="C259" s="35"/>
      <c r="D259" s="35"/>
      <c r="E259" s="35"/>
      <c r="F259" s="35"/>
      <c r="G259" s="35"/>
      <c r="H259" s="35"/>
      <c r="I259" s="35"/>
      <c r="J259" s="35"/>
      <c r="K259" s="35"/>
      <c r="L259" s="35"/>
      <c r="M259" s="35"/>
      <c r="N259" s="35"/>
      <c r="O259" s="35"/>
      <c r="P259" s="35"/>
      <c r="Q259" s="35"/>
      <c r="R259" s="35"/>
      <c r="S259" s="35"/>
      <c r="T259" s="35"/>
      <c r="U259" s="35"/>
      <c r="V259" s="35"/>
      <c r="W259" s="35"/>
      <c r="X259" s="35"/>
      <c r="Y259" s="35"/>
    </row>
    <row r="260" ht="14.25" customHeight="1">
      <c r="B260" s="39" t="s">
        <v>301</v>
      </c>
      <c r="C260" s="39"/>
      <c r="D260" s="77"/>
      <c r="E260" s="77"/>
      <c r="F260" s="77"/>
      <c r="G260" s="77"/>
      <c r="H260" s="77"/>
      <c r="I260" s="159"/>
      <c r="J260" s="103" t="s">
        <v>85</v>
      </c>
      <c r="K260" s="39">
        <f t="shared" ref="K260:P260" si="218">SUM(K261:K262)</f>
        <v>1</v>
      </c>
      <c r="L260" s="39">
        <f t="shared" si="218"/>
        <v>3</v>
      </c>
      <c r="M260" s="60">
        <f t="shared" si="218"/>
        <v>4</v>
      </c>
      <c r="N260" s="178">
        <f t="shared" si="218"/>
        <v>7</v>
      </c>
      <c r="O260" s="62">
        <f t="shared" si="218"/>
        <v>1</v>
      </c>
      <c r="P260" s="39">
        <f t="shared" si="218"/>
        <v>3</v>
      </c>
      <c r="Q260" s="275">
        <v>4.0</v>
      </c>
      <c r="R260" s="39"/>
      <c r="S260" s="46">
        <f t="shared" ref="S260:U260" si="219">IF(K260=0,0,IF((O260/K260*100)&gt;120,120,O260/K260*100))</f>
        <v>100</v>
      </c>
      <c r="T260" s="46">
        <f t="shared" si="219"/>
        <v>100</v>
      </c>
      <c r="U260" s="46">
        <f t="shared" si="219"/>
        <v>100</v>
      </c>
      <c r="V260" s="46">
        <f t="shared" ref="V260:Y260" si="220">IF($N260=0,0,IF((O260/$N260*100)&gt;120,120,O260/$N260*100))</f>
        <v>14.28571429</v>
      </c>
      <c r="W260" s="46">
        <f t="shared" si="220"/>
        <v>42.85714286</v>
      </c>
      <c r="X260" s="46">
        <f t="shared" si="220"/>
        <v>57.14285714</v>
      </c>
      <c r="Y260" s="46">
        <f t="shared" si="220"/>
        <v>0</v>
      </c>
    </row>
    <row r="261" ht="14.25" customHeight="1">
      <c r="B261" s="39"/>
      <c r="C261" s="109" t="s">
        <v>302</v>
      </c>
      <c r="D261" s="77"/>
      <c r="E261" s="77"/>
      <c r="F261" s="77"/>
      <c r="G261" s="77"/>
      <c r="H261" s="77"/>
      <c r="I261" s="159"/>
      <c r="J261" s="110" t="s">
        <v>87</v>
      </c>
      <c r="K261" s="326">
        <v>1.0</v>
      </c>
      <c r="L261" s="326">
        <v>3.0</v>
      </c>
      <c r="M261" s="326">
        <v>4.0</v>
      </c>
      <c r="N261" s="326">
        <v>5.0</v>
      </c>
      <c r="O261" s="42">
        <v>1.0</v>
      </c>
      <c r="P261" s="42">
        <v>3.0</v>
      </c>
      <c r="Q261" s="253">
        <v>4.0</v>
      </c>
      <c r="R261" s="42"/>
      <c r="S261" s="46">
        <f t="shared" ref="S261:U261" si="221">IF(K261=0,0,IF((O261/K261*100)&gt;120,120,O261/K261*100))</f>
        <v>100</v>
      </c>
      <c r="T261" s="46">
        <f t="shared" si="221"/>
        <v>100</v>
      </c>
      <c r="U261" s="46">
        <f t="shared" si="221"/>
        <v>100</v>
      </c>
      <c r="V261" s="46">
        <f t="shared" ref="V261:Y261" si="222">IF($N261=0,0,IF((O261/$N261*100)&gt;120,120,O261/$N261*100))</f>
        <v>20</v>
      </c>
      <c r="W261" s="46">
        <f t="shared" si="222"/>
        <v>60</v>
      </c>
      <c r="X261" s="46">
        <f t="shared" si="222"/>
        <v>80</v>
      </c>
      <c r="Y261" s="46">
        <f t="shared" si="222"/>
        <v>0</v>
      </c>
    </row>
    <row r="262" ht="14.25" customHeight="1">
      <c r="B262" s="39"/>
      <c r="C262" s="109" t="s">
        <v>303</v>
      </c>
      <c r="D262" s="77"/>
      <c r="E262" s="77"/>
      <c r="F262" s="77"/>
      <c r="G262" s="77"/>
      <c r="H262" s="77"/>
      <c r="I262" s="159"/>
      <c r="J262" s="110" t="s">
        <v>66</v>
      </c>
      <c r="K262" s="326">
        <v>0.0</v>
      </c>
      <c r="L262" s="326">
        <v>0.0</v>
      </c>
      <c r="M262" s="326">
        <v>0.0</v>
      </c>
      <c r="N262" s="326">
        <v>2.0</v>
      </c>
      <c r="O262" s="42">
        <v>0.0</v>
      </c>
      <c r="P262" s="42">
        <v>0.0</v>
      </c>
      <c r="Q262" s="253">
        <v>0.0</v>
      </c>
      <c r="R262" s="42"/>
      <c r="S262" s="46">
        <f t="shared" ref="S262:U262" si="223">IF(K262=0,0,IF((O262/K262*100)&gt;120,120,O262/K262*100))</f>
        <v>0</v>
      </c>
      <c r="T262" s="46">
        <f t="shared" si="223"/>
        <v>0</v>
      </c>
      <c r="U262" s="46">
        <f t="shared" si="223"/>
        <v>0</v>
      </c>
      <c r="V262" s="46">
        <f t="shared" ref="V262:Y262" si="224">IF($N262=0,0,IF((O262/$N262*100)&gt;120,120,O262/$N262*100))</f>
        <v>0</v>
      </c>
      <c r="W262" s="46">
        <f t="shared" si="224"/>
        <v>0</v>
      </c>
      <c r="X262" s="46">
        <f t="shared" si="224"/>
        <v>0</v>
      </c>
      <c r="Y262" s="46">
        <f t="shared" si="224"/>
        <v>0</v>
      </c>
    </row>
    <row r="263" ht="14.25" customHeight="1">
      <c r="B263" s="39" t="s">
        <v>304</v>
      </c>
      <c r="C263" s="39"/>
      <c r="D263" s="77"/>
      <c r="E263" s="77"/>
      <c r="F263" s="77"/>
      <c r="G263" s="77"/>
      <c r="H263" s="77"/>
      <c r="I263" s="159"/>
      <c r="J263" s="103" t="s">
        <v>85</v>
      </c>
      <c r="K263" s="39">
        <f t="shared" ref="K263:P263" si="225">SUM(K264:K265)</f>
        <v>1</v>
      </c>
      <c r="L263" s="39">
        <f t="shared" si="225"/>
        <v>3</v>
      </c>
      <c r="M263" s="60">
        <f t="shared" si="225"/>
        <v>4</v>
      </c>
      <c r="N263" s="178">
        <f t="shared" si="225"/>
        <v>7</v>
      </c>
      <c r="O263" s="62">
        <f t="shared" si="225"/>
        <v>1</v>
      </c>
      <c r="P263" s="39">
        <f t="shared" si="225"/>
        <v>3</v>
      </c>
      <c r="Q263" s="275">
        <v>4.0</v>
      </c>
      <c r="R263" s="39"/>
      <c r="S263" s="46">
        <f t="shared" ref="S263:U263" si="226">IF(K263=0,0,IF((O263/K263*100)&gt;120,120,O263/K263*100))</f>
        <v>100</v>
      </c>
      <c r="T263" s="46">
        <f t="shared" si="226"/>
        <v>100</v>
      </c>
      <c r="U263" s="46">
        <f t="shared" si="226"/>
        <v>100</v>
      </c>
      <c r="V263" s="46">
        <f t="shared" ref="V263:Y263" si="227">IF($N263=0,0,IF((O263/$N263*100)&gt;120,120,O263/$N263*100))</f>
        <v>14.28571429</v>
      </c>
      <c r="W263" s="46">
        <f t="shared" si="227"/>
        <v>42.85714286</v>
      </c>
      <c r="X263" s="46">
        <f t="shared" si="227"/>
        <v>57.14285714</v>
      </c>
      <c r="Y263" s="46">
        <f t="shared" si="227"/>
        <v>0</v>
      </c>
    </row>
    <row r="264" ht="14.25" customHeight="1">
      <c r="B264" s="39"/>
      <c r="C264" s="109" t="s">
        <v>305</v>
      </c>
      <c r="D264" s="77"/>
      <c r="E264" s="77"/>
      <c r="F264" s="77"/>
      <c r="G264" s="77"/>
      <c r="H264" s="77"/>
      <c r="I264" s="159"/>
      <c r="J264" s="110" t="s">
        <v>87</v>
      </c>
      <c r="K264" s="326">
        <v>1.0</v>
      </c>
      <c r="L264" s="326">
        <v>3.0</v>
      </c>
      <c r="M264" s="326">
        <v>4.0</v>
      </c>
      <c r="N264" s="326">
        <v>5.0</v>
      </c>
      <c r="O264" s="42">
        <v>1.0</v>
      </c>
      <c r="P264" s="42">
        <v>3.0</v>
      </c>
      <c r="Q264" s="253">
        <v>4.0</v>
      </c>
      <c r="R264" s="42"/>
      <c r="S264" s="46">
        <f t="shared" ref="S264:U264" si="228">IF(K264=0,0,IF((O264/K264*100)&gt;120,120,O264/K264*100))</f>
        <v>100</v>
      </c>
      <c r="T264" s="46">
        <f t="shared" si="228"/>
        <v>100</v>
      </c>
      <c r="U264" s="46">
        <f t="shared" si="228"/>
        <v>100</v>
      </c>
      <c r="V264" s="46">
        <f t="shared" ref="V264:Y264" si="229">IF($N264=0,0,IF((O264/$N264*100)&gt;120,120,O264/$N264*100))</f>
        <v>20</v>
      </c>
      <c r="W264" s="46">
        <f t="shared" si="229"/>
        <v>60</v>
      </c>
      <c r="X264" s="46">
        <f t="shared" si="229"/>
        <v>80</v>
      </c>
      <c r="Y264" s="46">
        <f t="shared" si="229"/>
        <v>0</v>
      </c>
    </row>
    <row r="265" ht="14.25" customHeight="1">
      <c r="B265" s="39"/>
      <c r="C265" s="109" t="s">
        <v>306</v>
      </c>
      <c r="D265" s="77"/>
      <c r="E265" s="77"/>
      <c r="F265" s="77"/>
      <c r="G265" s="77"/>
      <c r="H265" s="77"/>
      <c r="I265" s="159"/>
      <c r="J265" s="110" t="s">
        <v>66</v>
      </c>
      <c r="K265" s="326">
        <v>0.0</v>
      </c>
      <c r="L265" s="326">
        <v>0.0</v>
      </c>
      <c r="M265" s="326">
        <v>0.0</v>
      </c>
      <c r="N265" s="326">
        <v>2.0</v>
      </c>
      <c r="O265" s="42">
        <v>0.0</v>
      </c>
      <c r="P265" s="42">
        <v>0.0</v>
      </c>
      <c r="Q265" s="253">
        <v>0.0</v>
      </c>
      <c r="R265" s="42"/>
      <c r="S265" s="46">
        <f t="shared" ref="S265:U265" si="230">IF(K265=0,0,IF((O265/K265*100)&gt;120,120,O265/K265*100))</f>
        <v>0</v>
      </c>
      <c r="T265" s="46">
        <f t="shared" si="230"/>
        <v>0</v>
      </c>
      <c r="U265" s="46">
        <f t="shared" si="230"/>
        <v>0</v>
      </c>
      <c r="V265" s="46">
        <f t="shared" ref="V265:Y265" si="231">IF($N265=0,0,IF((O265/$N265*100)&gt;120,120,O265/$N265*100))</f>
        <v>0</v>
      </c>
      <c r="W265" s="46">
        <f t="shared" si="231"/>
        <v>0</v>
      </c>
      <c r="X265" s="46">
        <f t="shared" si="231"/>
        <v>0</v>
      </c>
      <c r="Y265" s="46">
        <f t="shared" si="231"/>
        <v>0</v>
      </c>
    </row>
    <row r="266" ht="14.25" customHeight="1">
      <c r="B266" s="39" t="s">
        <v>307</v>
      </c>
      <c r="C266" s="39"/>
      <c r="D266" s="77"/>
      <c r="E266" s="77"/>
      <c r="F266" s="77"/>
      <c r="G266" s="77"/>
      <c r="H266" s="77"/>
      <c r="I266" s="159"/>
      <c r="J266" s="103" t="s">
        <v>87</v>
      </c>
      <c r="K266" s="326">
        <v>0.0</v>
      </c>
      <c r="L266" s="326">
        <v>0.0</v>
      </c>
      <c r="M266" s="326">
        <v>0.0</v>
      </c>
      <c r="N266" s="326">
        <v>0.0</v>
      </c>
      <c r="O266" s="42">
        <v>0.0</v>
      </c>
      <c r="P266" s="42">
        <v>0.0</v>
      </c>
      <c r="Q266" s="253">
        <v>0.0</v>
      </c>
      <c r="R266" s="42"/>
      <c r="S266" s="46">
        <f t="shared" ref="S266:U266" si="232">IF(K266=0,0,IF((O266/K266*100)&gt;120,120,O266/K266*100))</f>
        <v>0</v>
      </c>
      <c r="T266" s="46">
        <f t="shared" si="232"/>
        <v>0</v>
      </c>
      <c r="U266" s="46">
        <f t="shared" si="232"/>
        <v>0</v>
      </c>
      <c r="V266" s="46">
        <f t="shared" ref="V266:Y266" si="233">IF($N266=0,0,IF((O266/$N266*100)&gt;120,120,O266/$N266*100))</f>
        <v>0</v>
      </c>
      <c r="W266" s="46">
        <f t="shared" si="233"/>
        <v>0</v>
      </c>
      <c r="X266" s="46">
        <f t="shared" si="233"/>
        <v>0</v>
      </c>
      <c r="Y266" s="46">
        <f t="shared" si="233"/>
        <v>0</v>
      </c>
    </row>
    <row r="267" ht="14.25" customHeight="1">
      <c r="B267" s="39" t="s">
        <v>308</v>
      </c>
      <c r="C267" s="39"/>
      <c r="D267" s="77"/>
      <c r="E267" s="77"/>
      <c r="F267" s="77"/>
      <c r="G267" s="77"/>
      <c r="H267" s="77"/>
      <c r="I267" s="159"/>
      <c r="J267" s="103" t="s">
        <v>95</v>
      </c>
      <c r="K267" s="326">
        <v>3.0</v>
      </c>
      <c r="L267" s="326">
        <v>6.0</v>
      </c>
      <c r="M267" s="326">
        <v>9.0</v>
      </c>
      <c r="N267" s="326">
        <v>12.0</v>
      </c>
      <c r="O267" s="42">
        <v>3.0</v>
      </c>
      <c r="P267" s="42">
        <v>6.0</v>
      </c>
      <c r="Q267" s="253">
        <v>9.0</v>
      </c>
      <c r="R267" s="42"/>
      <c r="S267" s="46">
        <f t="shared" ref="S267:U267" si="234">IF(K267=0,0,IF((O267/K267*100)&gt;120,120,O267/K267*100))</f>
        <v>100</v>
      </c>
      <c r="T267" s="46">
        <f t="shared" si="234"/>
        <v>100</v>
      </c>
      <c r="U267" s="46">
        <f t="shared" si="234"/>
        <v>100</v>
      </c>
      <c r="V267" s="46">
        <f t="shared" ref="V267:Y267" si="235">IF($N267=0,0,IF((O267/$N267*100)&gt;120,120,O267/$N267*100))</f>
        <v>25</v>
      </c>
      <c r="W267" s="46">
        <f t="shared" si="235"/>
        <v>50</v>
      </c>
      <c r="X267" s="46">
        <f t="shared" si="235"/>
        <v>75</v>
      </c>
      <c r="Y267" s="46">
        <f t="shared" si="235"/>
        <v>0</v>
      </c>
    </row>
    <row r="268" ht="14.25" customHeight="1">
      <c r="B268" s="39" t="s">
        <v>309</v>
      </c>
      <c r="C268" s="39"/>
      <c r="D268" s="77"/>
      <c r="E268" s="77"/>
      <c r="F268" s="77"/>
      <c r="G268" s="77"/>
      <c r="H268" s="77"/>
      <c r="I268" s="159"/>
      <c r="J268" s="103" t="s">
        <v>35</v>
      </c>
      <c r="K268" s="254">
        <f t="shared" ref="K268:O268" si="236">(SUM(K269,K273,K277)/SUM($I269,$I273,$I277)*100)</f>
        <v>25.02303298</v>
      </c>
      <c r="L268" s="254">
        <f t="shared" si="236"/>
        <v>50.07370555</v>
      </c>
      <c r="M268" s="254">
        <f t="shared" si="236"/>
        <v>75.40077391</v>
      </c>
      <c r="N268" s="254">
        <f t="shared" si="236"/>
        <v>100</v>
      </c>
      <c r="O268" s="254">
        <f t="shared" si="236"/>
        <v>25.0046066</v>
      </c>
      <c r="P268" s="254">
        <f>IF($I269+$I273+$I277=0,0,AVERAGE(IF($I269&gt;0,P269/$I269*100,0),IF($I273&gt;0,P273/$I273*100,0),IF($I277&gt;0,P277/$I277*100,0)))</f>
        <v>49.76020052</v>
      </c>
      <c r="Q268" s="254"/>
      <c r="R268" s="254"/>
      <c r="S268" s="46">
        <f t="shared" ref="S268:U268" si="237">IF(K268=0,0,IF((O268/K268*100)&gt;120,120,O268/K268*100))</f>
        <v>99.9263623</v>
      </c>
      <c r="T268" s="46">
        <f t="shared" si="237"/>
        <v>99.37391287</v>
      </c>
      <c r="U268" s="46">
        <f t="shared" si="237"/>
        <v>0</v>
      </c>
      <c r="V268" s="46">
        <f t="shared" ref="V268:Y268" si="238">IF($N268=0,0,IF((O268/$N268*100)&gt;120,120,O268/$N268*100))</f>
        <v>25.0046066</v>
      </c>
      <c r="W268" s="46">
        <f t="shared" si="238"/>
        <v>49.76020052</v>
      </c>
      <c r="X268" s="46">
        <f t="shared" si="238"/>
        <v>0</v>
      </c>
      <c r="Y268" s="46">
        <f t="shared" si="238"/>
        <v>0</v>
      </c>
    </row>
    <row r="269" ht="14.25" customHeight="1">
      <c r="B269" s="39"/>
      <c r="C269" s="109" t="s">
        <v>310</v>
      </c>
      <c r="D269" s="77"/>
      <c r="E269" s="77"/>
      <c r="F269" s="77"/>
      <c r="G269" s="77"/>
      <c r="H269" s="77"/>
      <c r="I269" s="42">
        <f>SUM(I270:I272)</f>
        <v>28266</v>
      </c>
      <c r="J269" s="110" t="s">
        <v>98</v>
      </c>
      <c r="K269" s="42">
        <f t="shared" ref="K269:P269" si="239">SUM(K270:K272)</f>
        <v>7094</v>
      </c>
      <c r="L269" s="42">
        <f t="shared" si="239"/>
        <v>14188</v>
      </c>
      <c r="M269" s="42">
        <f t="shared" si="239"/>
        <v>21282</v>
      </c>
      <c r="N269" s="42">
        <f t="shared" si="239"/>
        <v>28266</v>
      </c>
      <c r="O269" s="42">
        <f t="shared" si="239"/>
        <v>7094</v>
      </c>
      <c r="P269" s="42">
        <f t="shared" si="239"/>
        <v>14188</v>
      </c>
      <c r="Q269" s="253">
        <v>21282.0</v>
      </c>
      <c r="R269" s="42"/>
      <c r="S269" s="327">
        <f t="shared" ref="S269:U269" si="240">IF(K269=0,0,IF((O269/K269*100)&gt;120,120,O269/K269*100))</f>
        <v>100</v>
      </c>
      <c r="T269" s="327">
        <f t="shared" si="240"/>
        <v>100</v>
      </c>
      <c r="U269" s="328">
        <f t="shared" si="240"/>
        <v>100</v>
      </c>
      <c r="V269" s="111"/>
      <c r="W269" s="111"/>
      <c r="X269" s="111"/>
      <c r="Y269" s="111"/>
    </row>
    <row r="270" ht="14.25" customHeight="1">
      <c r="B270" s="39"/>
      <c r="C270" s="109"/>
      <c r="D270" s="77" t="s">
        <v>311</v>
      </c>
      <c r="E270" s="77"/>
      <c r="F270" s="77"/>
      <c r="G270" s="77"/>
      <c r="H270" s="77"/>
      <c r="I270" s="42">
        <f>N269</f>
        <v>28266</v>
      </c>
      <c r="J270" s="110" t="s">
        <v>98</v>
      </c>
      <c r="K270" s="326">
        <v>7094.0</v>
      </c>
      <c r="L270" s="326">
        <v>14188.0</v>
      </c>
      <c r="M270" s="326">
        <v>21282.0</v>
      </c>
      <c r="N270" s="326">
        <v>28266.0</v>
      </c>
      <c r="O270" s="42">
        <v>7094.0</v>
      </c>
      <c r="P270" s="42">
        <v>14188.0</v>
      </c>
      <c r="Q270" s="253">
        <v>21282.0</v>
      </c>
      <c r="R270" s="42"/>
      <c r="S270" s="327">
        <f t="shared" ref="S270:U270" si="241">IF(K270=0,0,IF((O270/K270*100)&gt;120,120,O270/K270*100))</f>
        <v>100</v>
      </c>
      <c r="T270" s="327">
        <f t="shared" si="241"/>
        <v>100</v>
      </c>
      <c r="U270" s="328">
        <f t="shared" si="241"/>
        <v>100</v>
      </c>
      <c r="V270" s="111"/>
      <c r="W270" s="111"/>
      <c r="X270" s="111"/>
      <c r="Y270" s="111"/>
    </row>
    <row r="271" ht="14.25" customHeight="1">
      <c r="B271" s="39"/>
      <c r="C271" s="109"/>
      <c r="D271" s="77" t="s">
        <v>312</v>
      </c>
      <c r="E271" s="77"/>
      <c r="F271" s="77"/>
      <c r="G271" s="77"/>
      <c r="H271" s="77"/>
      <c r="I271" s="42">
        <v>0.0</v>
      </c>
      <c r="J271" s="110" t="s">
        <v>98</v>
      </c>
      <c r="K271" s="326">
        <v>0.0</v>
      </c>
      <c r="L271" s="326">
        <v>0.0</v>
      </c>
      <c r="M271" s="326">
        <v>0.0</v>
      </c>
      <c r="N271" s="326">
        <v>0.0</v>
      </c>
      <c r="O271" s="42">
        <v>0.0</v>
      </c>
      <c r="P271" s="42">
        <v>0.0</v>
      </c>
      <c r="Q271" s="253">
        <v>0.0</v>
      </c>
      <c r="R271" s="42"/>
      <c r="S271" s="327">
        <f t="shared" ref="S271:U271" si="242">IF(K271=0,0,IF((O271/K271*100)&gt;120,120,O271/K271*100))</f>
        <v>0</v>
      </c>
      <c r="T271" s="327">
        <f t="shared" si="242"/>
        <v>0</v>
      </c>
      <c r="U271" s="328">
        <f t="shared" si="242"/>
        <v>0</v>
      </c>
      <c r="V271" s="111"/>
      <c r="W271" s="111"/>
      <c r="X271" s="111"/>
      <c r="Y271" s="111"/>
    </row>
    <row r="272" ht="14.25" customHeight="1">
      <c r="B272" s="39"/>
      <c r="C272" s="109"/>
      <c r="D272" s="77" t="s">
        <v>313</v>
      </c>
      <c r="E272" s="77"/>
      <c r="F272" s="77"/>
      <c r="G272" s="77"/>
      <c r="H272" s="77"/>
      <c r="I272" s="42">
        <f>N271</f>
        <v>0</v>
      </c>
      <c r="J272" s="110" t="s">
        <v>98</v>
      </c>
      <c r="K272" s="326">
        <v>0.0</v>
      </c>
      <c r="L272" s="326">
        <v>0.0</v>
      </c>
      <c r="M272" s="326">
        <v>0.0</v>
      </c>
      <c r="N272" s="326">
        <v>0.0</v>
      </c>
      <c r="O272" s="42">
        <v>0.0</v>
      </c>
      <c r="P272" s="42">
        <v>0.0</v>
      </c>
      <c r="Q272" s="253">
        <v>0.0</v>
      </c>
      <c r="R272" s="42"/>
      <c r="S272" s="327">
        <f t="shared" ref="S272:U272" si="243">IF(K272=0,0,IF((O272/K272*100)&gt;120,120,O272/K272*100))</f>
        <v>0</v>
      </c>
      <c r="T272" s="327">
        <f t="shared" si="243"/>
        <v>0</v>
      </c>
      <c r="U272" s="328">
        <f t="shared" si="243"/>
        <v>0</v>
      </c>
      <c r="V272" s="111"/>
      <c r="W272" s="111"/>
      <c r="X272" s="111"/>
      <c r="Y272" s="111"/>
    </row>
    <row r="273" ht="14.25" customHeight="1">
      <c r="B273" s="39"/>
      <c r="C273" s="109" t="s">
        <v>314</v>
      </c>
      <c r="D273" s="77"/>
      <c r="E273" s="77"/>
      <c r="F273" s="77"/>
      <c r="G273" s="77"/>
      <c r="H273" s="77"/>
      <c r="I273" s="42">
        <f>SUM(I274:I276)</f>
        <v>3720</v>
      </c>
      <c r="J273" s="110" t="s">
        <v>98</v>
      </c>
      <c r="K273" s="42">
        <f t="shared" ref="K273:P273" si="244">SUM(K274:K276)</f>
        <v>910</v>
      </c>
      <c r="L273" s="42">
        <f t="shared" si="244"/>
        <v>1829</v>
      </c>
      <c r="M273" s="42">
        <f t="shared" si="244"/>
        <v>2838</v>
      </c>
      <c r="N273" s="42">
        <f t="shared" si="244"/>
        <v>3720</v>
      </c>
      <c r="O273" s="42">
        <f t="shared" si="244"/>
        <v>904</v>
      </c>
      <c r="P273" s="42">
        <f t="shared" si="244"/>
        <v>1826</v>
      </c>
      <c r="Q273" s="253">
        <v>2838.0</v>
      </c>
      <c r="R273" s="42"/>
      <c r="S273" s="327">
        <f t="shared" ref="S273:U273" si="245">IF(K273=0,0,IF((O273/K273*100)&gt;120,120,O273/K273*100))</f>
        <v>99.34065934</v>
      </c>
      <c r="T273" s="327">
        <f t="shared" si="245"/>
        <v>99.83597594</v>
      </c>
      <c r="U273" s="328">
        <f t="shared" si="245"/>
        <v>100</v>
      </c>
      <c r="V273" s="111"/>
      <c r="W273" s="111"/>
      <c r="X273" s="111"/>
      <c r="Y273" s="111"/>
    </row>
    <row r="274" ht="14.25" customHeight="1">
      <c r="B274" s="39"/>
      <c r="C274" s="109"/>
      <c r="D274" s="77" t="s">
        <v>311</v>
      </c>
      <c r="E274" s="77"/>
      <c r="F274" s="77"/>
      <c r="G274" s="77"/>
      <c r="H274" s="77"/>
      <c r="I274" s="42">
        <f>N274</f>
        <v>951</v>
      </c>
      <c r="J274" s="110" t="s">
        <v>98</v>
      </c>
      <c r="K274" s="326">
        <v>199.0</v>
      </c>
      <c r="L274" s="326">
        <v>432.0</v>
      </c>
      <c r="M274" s="326">
        <v>755.0</v>
      </c>
      <c r="N274" s="326">
        <v>951.0</v>
      </c>
      <c r="O274" s="42">
        <v>196.0</v>
      </c>
      <c r="P274" s="42">
        <v>432.0</v>
      </c>
      <c r="Q274" s="253">
        <v>755.0</v>
      </c>
      <c r="R274" s="42"/>
      <c r="S274" s="327">
        <f t="shared" ref="S274:U274" si="246">IF(K274=0,0,IF((O274/K274*100)&gt;120,120,O274/K274*100))</f>
        <v>98.49246231</v>
      </c>
      <c r="T274" s="327">
        <f t="shared" si="246"/>
        <v>100</v>
      </c>
      <c r="U274" s="328">
        <f t="shared" si="246"/>
        <v>100</v>
      </c>
      <c r="V274" s="111"/>
      <c r="W274" s="111"/>
      <c r="X274" s="111"/>
      <c r="Y274" s="111"/>
    </row>
    <row r="275" ht="14.25" customHeight="1">
      <c r="B275" s="39"/>
      <c r="C275" s="109"/>
      <c r="D275" s="77" t="s">
        <v>312</v>
      </c>
      <c r="E275" s="77"/>
      <c r="F275" s="77"/>
      <c r="G275" s="77"/>
      <c r="H275" s="77"/>
      <c r="I275" s="42">
        <v>2725.0</v>
      </c>
      <c r="J275" s="110" t="s">
        <v>98</v>
      </c>
      <c r="K275" s="326">
        <v>700.0</v>
      </c>
      <c r="L275" s="326">
        <v>1375.0</v>
      </c>
      <c r="M275" s="326">
        <v>2050.0</v>
      </c>
      <c r="N275" s="326">
        <v>2725.0</v>
      </c>
      <c r="O275" s="42">
        <v>697.0</v>
      </c>
      <c r="P275" s="42">
        <v>1372.0</v>
      </c>
      <c r="Q275" s="253">
        <v>2050.0</v>
      </c>
      <c r="R275" s="42"/>
      <c r="S275" s="327">
        <f t="shared" ref="S275:U275" si="247">IF(K275=0,0,IF((O275/K275*100)&gt;120,120,O275/K275*100))</f>
        <v>99.57142857</v>
      </c>
      <c r="T275" s="327">
        <f t="shared" si="247"/>
        <v>99.78181818</v>
      </c>
      <c r="U275" s="328">
        <f t="shared" si="247"/>
        <v>100</v>
      </c>
      <c r="V275" s="111"/>
      <c r="W275" s="111"/>
      <c r="X275" s="111"/>
      <c r="Y275" s="111"/>
    </row>
    <row r="276" ht="14.25" customHeight="1">
      <c r="B276" s="39"/>
      <c r="C276" s="109"/>
      <c r="D276" s="77" t="s">
        <v>313</v>
      </c>
      <c r="E276" s="77"/>
      <c r="F276" s="77"/>
      <c r="G276" s="77"/>
      <c r="H276" s="77"/>
      <c r="I276" s="42">
        <f>N276</f>
        <v>44</v>
      </c>
      <c r="J276" s="110" t="s">
        <v>98</v>
      </c>
      <c r="K276" s="326">
        <v>11.0</v>
      </c>
      <c r="L276" s="326">
        <v>22.0</v>
      </c>
      <c r="M276" s="326">
        <v>33.0</v>
      </c>
      <c r="N276" s="326">
        <v>44.0</v>
      </c>
      <c r="O276" s="42">
        <v>11.0</v>
      </c>
      <c r="P276" s="42">
        <v>22.0</v>
      </c>
      <c r="Q276" s="253">
        <v>33.0</v>
      </c>
      <c r="R276" s="42"/>
      <c r="S276" s="327">
        <f t="shared" ref="S276:U276" si="248">IF(K276=0,0,IF((O276/K276*100)&gt;120,120,O276/K276*100))</f>
        <v>100</v>
      </c>
      <c r="T276" s="327">
        <f t="shared" si="248"/>
        <v>100</v>
      </c>
      <c r="U276" s="328">
        <f t="shared" si="248"/>
        <v>100</v>
      </c>
      <c r="V276" s="111"/>
      <c r="W276" s="111"/>
      <c r="X276" s="111"/>
      <c r="Y276" s="111"/>
    </row>
    <row r="277" ht="14.25" customHeight="1">
      <c r="B277" s="39"/>
      <c r="C277" s="109" t="s">
        <v>315</v>
      </c>
      <c r="D277" s="77"/>
      <c r="E277" s="77"/>
      <c r="F277" s="77"/>
      <c r="G277" s="77"/>
      <c r="H277" s="77"/>
      <c r="I277" s="42">
        <f>SUM(I278:I280)</f>
        <v>576</v>
      </c>
      <c r="J277" s="110" t="s">
        <v>98</v>
      </c>
      <c r="K277" s="42">
        <f t="shared" ref="K277:P277" si="249">SUM(K278:K280)</f>
        <v>144</v>
      </c>
      <c r="L277" s="42">
        <f t="shared" si="249"/>
        <v>288</v>
      </c>
      <c r="M277" s="42">
        <f t="shared" si="249"/>
        <v>432</v>
      </c>
      <c r="N277" s="42">
        <f t="shared" si="249"/>
        <v>576</v>
      </c>
      <c r="O277" s="42">
        <f t="shared" si="249"/>
        <v>144</v>
      </c>
      <c r="P277" s="42">
        <f t="shared" si="249"/>
        <v>288</v>
      </c>
      <c r="Q277" s="253">
        <v>432.0</v>
      </c>
      <c r="R277" s="42"/>
      <c r="S277" s="327">
        <f t="shared" ref="S277:U277" si="250">IF(K277=0,0,IF((O277/K277*100)&gt;120,120,O277/K277*100))</f>
        <v>100</v>
      </c>
      <c r="T277" s="327">
        <f t="shared" si="250"/>
        <v>100</v>
      </c>
      <c r="U277" s="328">
        <f t="shared" si="250"/>
        <v>100</v>
      </c>
      <c r="V277" s="111"/>
      <c r="W277" s="111"/>
      <c r="X277" s="111"/>
      <c r="Y277" s="111"/>
    </row>
    <row r="278" ht="14.25" customHeight="1">
      <c r="B278" s="39"/>
      <c r="C278" s="109"/>
      <c r="D278" s="77" t="s">
        <v>311</v>
      </c>
      <c r="E278" s="77"/>
      <c r="F278" s="77"/>
      <c r="G278" s="77"/>
      <c r="H278" s="77"/>
      <c r="I278" s="42">
        <f t="shared" ref="I278:I280" si="252">N278</f>
        <v>576</v>
      </c>
      <c r="J278" s="110" t="s">
        <v>98</v>
      </c>
      <c r="K278" s="326">
        <v>144.0</v>
      </c>
      <c r="L278" s="326">
        <v>288.0</v>
      </c>
      <c r="M278" s="326">
        <v>432.0</v>
      </c>
      <c r="N278" s="326">
        <v>576.0</v>
      </c>
      <c r="O278" s="42">
        <v>144.0</v>
      </c>
      <c r="P278" s="42">
        <v>288.0</v>
      </c>
      <c r="Q278" s="253">
        <v>432.0</v>
      </c>
      <c r="R278" s="42"/>
      <c r="S278" s="327">
        <f t="shared" ref="S278:U278" si="251">IF(K278=0,0,IF((O278/K278*100)&gt;120,120,O278/K278*100))</f>
        <v>100</v>
      </c>
      <c r="T278" s="327">
        <f t="shared" si="251"/>
        <v>100</v>
      </c>
      <c r="U278" s="328">
        <f t="shared" si="251"/>
        <v>100</v>
      </c>
      <c r="V278" s="111"/>
      <c r="W278" s="111"/>
      <c r="X278" s="111"/>
      <c r="Y278" s="111"/>
    </row>
    <row r="279" ht="14.25" customHeight="1">
      <c r="B279" s="39"/>
      <c r="C279" s="109"/>
      <c r="D279" s="77" t="s">
        <v>312</v>
      </c>
      <c r="E279" s="77"/>
      <c r="F279" s="77"/>
      <c r="G279" s="77"/>
      <c r="H279" s="77"/>
      <c r="I279" s="42">
        <f t="shared" si="252"/>
        <v>0</v>
      </c>
      <c r="J279" s="110" t="s">
        <v>98</v>
      </c>
      <c r="K279" s="326">
        <v>0.0</v>
      </c>
      <c r="L279" s="326">
        <v>0.0</v>
      </c>
      <c r="M279" s="326">
        <v>0.0</v>
      </c>
      <c r="N279" s="326">
        <v>0.0</v>
      </c>
      <c r="O279" s="42">
        <v>0.0</v>
      </c>
      <c r="P279" s="42">
        <v>0.0</v>
      </c>
      <c r="Q279" s="253">
        <v>0.0</v>
      </c>
      <c r="R279" s="42"/>
      <c r="S279" s="327">
        <f t="shared" ref="S279:U279" si="253">IF(K279=0,0,IF((O279/K279*100)&gt;120,120,O279/K279*100))</f>
        <v>0</v>
      </c>
      <c r="T279" s="327">
        <f t="shared" si="253"/>
        <v>0</v>
      </c>
      <c r="U279" s="328">
        <f t="shared" si="253"/>
        <v>0</v>
      </c>
      <c r="V279" s="111"/>
      <c r="W279" s="111"/>
      <c r="X279" s="111"/>
      <c r="Y279" s="111"/>
    </row>
    <row r="280" ht="14.25" customHeight="1">
      <c r="B280" s="39"/>
      <c r="C280" s="109"/>
      <c r="D280" s="77" t="s">
        <v>313</v>
      </c>
      <c r="E280" s="77"/>
      <c r="F280" s="77"/>
      <c r="G280" s="77"/>
      <c r="H280" s="77"/>
      <c r="I280" s="42">
        <f t="shared" si="252"/>
        <v>0</v>
      </c>
      <c r="J280" s="110" t="s">
        <v>98</v>
      </c>
      <c r="K280" s="326">
        <v>0.0</v>
      </c>
      <c r="L280" s="326">
        <v>0.0</v>
      </c>
      <c r="M280" s="326">
        <v>0.0</v>
      </c>
      <c r="N280" s="326">
        <v>0.0</v>
      </c>
      <c r="O280" s="42">
        <v>0.0</v>
      </c>
      <c r="P280" s="42">
        <v>0.0</v>
      </c>
      <c r="Q280" s="253">
        <v>0.0</v>
      </c>
      <c r="R280" s="42"/>
      <c r="S280" s="327">
        <f t="shared" ref="S280:U280" si="254">IF(K280=0,0,IF((O280/K280*100)&gt;120,120,O280/K280*100))</f>
        <v>0</v>
      </c>
      <c r="T280" s="327">
        <f t="shared" si="254"/>
        <v>0</v>
      </c>
      <c r="U280" s="328">
        <f t="shared" si="254"/>
        <v>0</v>
      </c>
      <c r="V280" s="111"/>
      <c r="W280" s="111"/>
      <c r="X280" s="111"/>
      <c r="Y280" s="111"/>
    </row>
    <row r="281" ht="14.25" customHeight="1">
      <c r="B281" s="39" t="s">
        <v>316</v>
      </c>
      <c r="C281" s="39"/>
      <c r="D281" s="77"/>
      <c r="E281" s="77"/>
      <c r="F281" s="77"/>
      <c r="G281" s="77"/>
      <c r="H281" s="77"/>
      <c r="I281" s="159"/>
      <c r="J281" s="103" t="s">
        <v>35</v>
      </c>
      <c r="K281" s="329">
        <v>25.02</v>
      </c>
      <c r="L281" s="329">
        <v>50.07</v>
      </c>
      <c r="M281" s="329">
        <v>75.4</v>
      </c>
      <c r="N281" s="329">
        <v>100.0</v>
      </c>
      <c r="O281" s="143">
        <v>25.0</v>
      </c>
      <c r="P281" s="143">
        <v>49.76</v>
      </c>
      <c r="Q281" s="259">
        <v>75.4</v>
      </c>
      <c r="R281" s="42"/>
      <c r="S281" s="46">
        <f t="shared" ref="S281:U281" si="255">IF(K281=0,0,IF((O281/K281*100)&gt;120,120,O281/K281*100))</f>
        <v>99.92006395</v>
      </c>
      <c r="T281" s="46">
        <f t="shared" si="255"/>
        <v>99.38086679</v>
      </c>
      <c r="U281" s="46">
        <f t="shared" si="255"/>
        <v>100</v>
      </c>
      <c r="V281" s="46">
        <f t="shared" ref="V281:Y281" si="256">IF($N281=0,0,IF((O281/$N281*100)&gt;120,120,O281/$N281*100))</f>
        <v>25</v>
      </c>
      <c r="W281" s="46">
        <f t="shared" si="256"/>
        <v>49.76</v>
      </c>
      <c r="X281" s="46">
        <f t="shared" si="256"/>
        <v>75.4</v>
      </c>
      <c r="Y281" s="46">
        <f t="shared" si="256"/>
        <v>0</v>
      </c>
    </row>
    <row r="282" ht="14.25" customHeight="1">
      <c r="B282" s="77"/>
      <c r="C282" s="77"/>
      <c r="D282" s="77"/>
      <c r="E282" s="77"/>
      <c r="F282" s="77"/>
      <c r="G282" s="77"/>
      <c r="H282" s="77"/>
      <c r="I282" s="77"/>
      <c r="J282" s="77"/>
      <c r="K282" s="77"/>
      <c r="L282" s="77"/>
      <c r="M282" s="77"/>
      <c r="N282" s="77"/>
      <c r="O282" s="77"/>
      <c r="P282" s="77"/>
      <c r="Q282" s="77"/>
      <c r="R282" s="77"/>
      <c r="S282" s="77"/>
      <c r="T282" s="77"/>
      <c r="U282" s="77"/>
      <c r="V282" s="77"/>
      <c r="W282" s="77"/>
      <c r="X282" s="77"/>
      <c r="Y282" s="77"/>
    </row>
    <row r="283" ht="14.25" customHeight="1">
      <c r="B283" s="330"/>
      <c r="C283" s="331"/>
      <c r="D283" s="332"/>
      <c r="E283" s="332"/>
      <c r="F283" s="332"/>
      <c r="G283" s="333" t="s">
        <v>317</v>
      </c>
      <c r="H283" s="332"/>
      <c r="I283" s="332"/>
      <c r="J283" s="332"/>
      <c r="K283" s="334"/>
      <c r="L283" s="334"/>
      <c r="M283" s="334"/>
      <c r="N283" s="334"/>
      <c r="O283" s="334"/>
      <c r="P283" s="334"/>
      <c r="Q283" s="334"/>
      <c r="R283" s="334"/>
      <c r="S283" s="335">
        <f t="shared" ref="S283:U283" si="257">IF(SUM(K259:K268,K281)&gt;0,SUM(S259:S268,S281)/SUM(COUNTIF(K259:K268,"&gt;0"),COUNTIF(K281,"&gt;0")),0)</f>
        <v>99.97806089</v>
      </c>
      <c r="T283" s="335">
        <f t="shared" si="257"/>
        <v>99.82211138</v>
      </c>
      <c r="U283" s="335">
        <f t="shared" si="257"/>
        <v>85.71428571</v>
      </c>
      <c r="V283" s="335">
        <f t="shared" ref="V283:X283" si="258">SUM(V259:V281)/8</f>
        <v>17.9470044</v>
      </c>
      <c r="W283" s="335">
        <f t="shared" si="258"/>
        <v>44.40431078</v>
      </c>
      <c r="X283" s="335">
        <f t="shared" si="258"/>
        <v>53.08571429</v>
      </c>
      <c r="Y283" s="335">
        <f>SUM(Y259:Y281)/10</f>
        <v>0</v>
      </c>
    </row>
    <row r="284" ht="14.25" customHeight="1"/>
    <row r="285" ht="14.25" customHeight="1"/>
    <row r="286" ht="14.25" customHeight="1">
      <c r="B286" s="4" t="s">
        <v>318</v>
      </c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6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</row>
    <row r="287" ht="15.75" customHeight="1">
      <c r="B287" s="169" t="s">
        <v>2</v>
      </c>
      <c r="C287" s="8"/>
      <c r="D287" s="8"/>
      <c r="E287" s="8"/>
      <c r="F287" s="8"/>
      <c r="G287" s="8"/>
      <c r="H287" s="8"/>
      <c r="I287" s="324"/>
      <c r="J287" s="171" t="s">
        <v>3</v>
      </c>
      <c r="K287" s="11"/>
      <c r="L287" s="11"/>
      <c r="M287" s="11"/>
      <c r="N287" s="11"/>
      <c r="O287" s="11"/>
      <c r="P287" s="11"/>
      <c r="Q287" s="11"/>
      <c r="R287" s="12"/>
      <c r="S287" s="171" t="s">
        <v>4</v>
      </c>
      <c r="T287" s="11"/>
      <c r="U287" s="11"/>
      <c r="V287" s="11"/>
      <c r="W287" s="11"/>
      <c r="X287" s="11"/>
      <c r="Y287" s="12"/>
    </row>
    <row r="288" ht="14.25" customHeight="1">
      <c r="B288" s="13"/>
      <c r="I288" s="92"/>
      <c r="J288" s="172" t="s">
        <v>5</v>
      </c>
      <c r="K288" s="173" t="s">
        <v>62</v>
      </c>
      <c r="L288" s="17"/>
      <c r="M288" s="17"/>
      <c r="N288" s="18"/>
      <c r="O288" s="173" t="s">
        <v>63</v>
      </c>
      <c r="P288" s="17"/>
      <c r="Q288" s="17"/>
      <c r="R288" s="18"/>
      <c r="S288" s="173" t="s">
        <v>64</v>
      </c>
      <c r="T288" s="17"/>
      <c r="U288" s="18"/>
      <c r="V288" s="173" t="s">
        <v>9</v>
      </c>
      <c r="W288" s="17"/>
      <c r="X288" s="17"/>
      <c r="Y288" s="18"/>
    </row>
    <row r="289" ht="14.25" customHeight="1">
      <c r="B289" s="19"/>
      <c r="C289" s="20"/>
      <c r="D289" s="20"/>
      <c r="E289" s="20"/>
      <c r="F289" s="20"/>
      <c r="G289" s="20"/>
      <c r="H289" s="20"/>
      <c r="I289" s="21"/>
      <c r="J289" s="22"/>
      <c r="K289" s="174" t="s">
        <v>10</v>
      </c>
      <c r="L289" s="174" t="s">
        <v>11</v>
      </c>
      <c r="M289" s="174" t="s">
        <v>12</v>
      </c>
      <c r="N289" s="174" t="s">
        <v>13</v>
      </c>
      <c r="O289" s="174" t="s">
        <v>10</v>
      </c>
      <c r="P289" s="174" t="s">
        <v>11</v>
      </c>
      <c r="Q289" s="174" t="s">
        <v>12</v>
      </c>
      <c r="R289" s="174" t="s">
        <v>13</v>
      </c>
      <c r="S289" s="174" t="s">
        <v>10</v>
      </c>
      <c r="T289" s="174" t="s">
        <v>11</v>
      </c>
      <c r="U289" s="174" t="s">
        <v>12</v>
      </c>
      <c r="V289" s="174" t="s">
        <v>10</v>
      </c>
      <c r="W289" s="174" t="s">
        <v>11</v>
      </c>
      <c r="X289" s="174" t="s">
        <v>12</v>
      </c>
      <c r="Y289" s="174" t="s">
        <v>13</v>
      </c>
    </row>
    <row r="290" ht="14.25" customHeight="1">
      <c r="B290" s="176">
        <v>-1.0</v>
      </c>
      <c r="C290" s="27"/>
      <c r="D290" s="27"/>
      <c r="E290" s="27"/>
      <c r="F290" s="27"/>
      <c r="G290" s="27"/>
      <c r="H290" s="27"/>
      <c r="I290" s="325"/>
      <c r="J290" s="177">
        <v>-2.0</v>
      </c>
      <c r="K290" s="177">
        <v>-3.0</v>
      </c>
      <c r="L290" s="177">
        <v>-4.0</v>
      </c>
      <c r="M290" s="177">
        <v>-5.0</v>
      </c>
      <c r="N290" s="177">
        <v>-6.0</v>
      </c>
      <c r="O290" s="177">
        <v>-7.0</v>
      </c>
      <c r="P290" s="177">
        <v>-8.0</v>
      </c>
      <c r="Q290" s="177">
        <v>-9.0</v>
      </c>
      <c r="R290" s="177">
        <v>-10.0</v>
      </c>
      <c r="S290" s="177">
        <v>-11.0</v>
      </c>
      <c r="T290" s="177">
        <v>-12.0</v>
      </c>
      <c r="U290" s="177">
        <v>-13.0</v>
      </c>
      <c r="V290" s="177">
        <v>-14.0</v>
      </c>
      <c r="W290" s="177">
        <v>-15.0</v>
      </c>
      <c r="X290" s="177">
        <v>-16.0</v>
      </c>
      <c r="Y290" s="177">
        <v>-17.0</v>
      </c>
    </row>
    <row r="291" ht="14.25" customHeight="1">
      <c r="B291" s="35"/>
      <c r="C291" s="35"/>
      <c r="D291" s="35"/>
      <c r="E291" s="35"/>
      <c r="F291" s="35"/>
      <c r="G291" s="35"/>
      <c r="H291" s="35"/>
      <c r="I291" s="35"/>
      <c r="J291" s="35"/>
      <c r="K291" s="35"/>
      <c r="L291" s="35"/>
      <c r="M291" s="35"/>
      <c r="N291" s="35"/>
      <c r="O291" s="35"/>
      <c r="P291" s="35"/>
      <c r="Q291" s="35"/>
      <c r="R291" s="35"/>
      <c r="S291" s="35"/>
      <c r="T291" s="35"/>
      <c r="U291" s="35"/>
      <c r="V291" s="35"/>
      <c r="W291" s="35"/>
      <c r="X291" s="35"/>
      <c r="Y291" s="35"/>
    </row>
    <row r="292" ht="14.25" customHeight="1">
      <c r="B292" s="39" t="s">
        <v>319</v>
      </c>
      <c r="C292" s="39"/>
      <c r="D292" s="77"/>
      <c r="E292" s="77"/>
      <c r="F292" s="77"/>
      <c r="G292" s="77"/>
      <c r="H292" s="77"/>
      <c r="I292" s="159"/>
      <c r="J292" s="103" t="s">
        <v>85</v>
      </c>
      <c r="K292" s="39">
        <f t="shared" ref="K292:R292" si="259">SUM(K293:K294)</f>
        <v>0</v>
      </c>
      <c r="L292" s="39">
        <f t="shared" si="259"/>
        <v>2</v>
      </c>
      <c r="M292" s="60">
        <f t="shared" si="259"/>
        <v>3</v>
      </c>
      <c r="N292" s="178">
        <f t="shared" si="259"/>
        <v>3</v>
      </c>
      <c r="O292" s="62">
        <f t="shared" si="259"/>
        <v>0</v>
      </c>
      <c r="P292" s="39">
        <f t="shared" si="259"/>
        <v>2</v>
      </c>
      <c r="Q292" s="39">
        <f t="shared" si="259"/>
        <v>3</v>
      </c>
      <c r="R292" s="39">
        <f t="shared" si="259"/>
        <v>0</v>
      </c>
      <c r="S292" s="46">
        <f t="shared" ref="S292:U292" si="260">IF(K292=0,0,IF((O292/K292*100)&gt;120,120,O292/K292*100))</f>
        <v>0</v>
      </c>
      <c r="T292" s="46">
        <f t="shared" si="260"/>
        <v>100</v>
      </c>
      <c r="U292" s="46">
        <f t="shared" si="260"/>
        <v>100</v>
      </c>
      <c r="V292" s="46">
        <f t="shared" ref="V292:Y292" si="261">IF($N292=0,0,IF((O292/$N292*100)&gt;120,120,O292/$N292*100))</f>
        <v>0</v>
      </c>
      <c r="W292" s="46">
        <f t="shared" si="261"/>
        <v>66.66666667</v>
      </c>
      <c r="X292" s="46">
        <f t="shared" si="261"/>
        <v>100</v>
      </c>
      <c r="Y292" s="46">
        <f t="shared" si="261"/>
        <v>0</v>
      </c>
    </row>
    <row r="293" ht="14.25" customHeight="1">
      <c r="B293" s="39"/>
      <c r="C293" s="109" t="s">
        <v>320</v>
      </c>
      <c r="D293" s="77"/>
      <c r="E293" s="77"/>
      <c r="F293" s="77"/>
      <c r="G293" s="77"/>
      <c r="H293" s="77"/>
      <c r="I293" s="159"/>
      <c r="J293" s="110" t="s">
        <v>87</v>
      </c>
      <c r="K293" s="42">
        <v>0.0</v>
      </c>
      <c r="L293" s="42">
        <v>2.0</v>
      </c>
      <c r="M293" s="42">
        <v>3.0</v>
      </c>
      <c r="N293" s="42">
        <v>3.0</v>
      </c>
      <c r="O293" s="42">
        <v>0.0</v>
      </c>
      <c r="P293" s="42">
        <v>2.0</v>
      </c>
      <c r="Q293" s="253">
        <v>3.0</v>
      </c>
      <c r="R293" s="42"/>
      <c r="S293" s="46">
        <f t="shared" ref="S293:U293" si="262">IF(K293=0,0,IF((O293/K293*100)&gt;120,120,O293/K293*100))</f>
        <v>0</v>
      </c>
      <c r="T293" s="46">
        <f t="shared" si="262"/>
        <v>100</v>
      </c>
      <c r="U293" s="46">
        <f t="shared" si="262"/>
        <v>100</v>
      </c>
      <c r="V293" s="46">
        <f t="shared" ref="V293:Y293" si="263">IF($N293=0,0,IF((O293/$N293*100)&gt;120,120,O293/$N293*100))</f>
        <v>0</v>
      </c>
      <c r="W293" s="46">
        <f t="shared" si="263"/>
        <v>66.66666667</v>
      </c>
      <c r="X293" s="46">
        <f t="shared" si="263"/>
        <v>100</v>
      </c>
      <c r="Y293" s="46">
        <f t="shared" si="263"/>
        <v>0</v>
      </c>
    </row>
    <row r="294" ht="14.25" customHeight="1">
      <c r="B294" s="39"/>
      <c r="C294" s="109" t="s">
        <v>321</v>
      </c>
      <c r="D294" s="77"/>
      <c r="E294" s="77"/>
      <c r="F294" s="77"/>
      <c r="G294" s="77"/>
      <c r="H294" s="77"/>
      <c r="I294" s="159"/>
      <c r="J294" s="110" t="s">
        <v>66</v>
      </c>
      <c r="K294" s="42">
        <v>0.0</v>
      </c>
      <c r="L294" s="42">
        <v>0.0</v>
      </c>
      <c r="M294" s="42">
        <v>0.0</v>
      </c>
      <c r="N294" s="42">
        <v>0.0</v>
      </c>
      <c r="O294" s="42">
        <v>0.0</v>
      </c>
      <c r="P294" s="42">
        <v>0.0</v>
      </c>
      <c r="Q294" s="253">
        <v>0.0</v>
      </c>
      <c r="R294" s="42"/>
      <c r="S294" s="46">
        <f t="shared" ref="S294:U294" si="264">IF(K294=0,0,IF((O294/K294*100)&gt;120,120,O294/K294*100))</f>
        <v>0</v>
      </c>
      <c r="T294" s="46">
        <f t="shared" si="264"/>
        <v>0</v>
      </c>
      <c r="U294" s="46">
        <f t="shared" si="264"/>
        <v>0</v>
      </c>
      <c r="V294" s="46">
        <f t="shared" ref="V294:Y294" si="265">IF($N294=0,0,IF((O294/$N294*100)&gt;120,120,O294/$N294*100))</f>
        <v>0</v>
      </c>
      <c r="W294" s="46">
        <f t="shared" si="265"/>
        <v>0</v>
      </c>
      <c r="X294" s="46">
        <f t="shared" si="265"/>
        <v>0</v>
      </c>
      <c r="Y294" s="46">
        <f t="shared" si="265"/>
        <v>0</v>
      </c>
    </row>
    <row r="295" ht="14.25" customHeight="1">
      <c r="B295" s="39" t="s">
        <v>322</v>
      </c>
      <c r="C295" s="39"/>
      <c r="D295" s="77"/>
      <c r="E295" s="77"/>
      <c r="F295" s="77"/>
      <c r="G295" s="77"/>
      <c r="H295" s="77"/>
      <c r="I295" s="159"/>
      <c r="J295" s="103" t="s">
        <v>85</v>
      </c>
      <c r="K295" s="39">
        <f t="shared" ref="K295:R295" si="266">SUM(K296:K297)</f>
        <v>0</v>
      </c>
      <c r="L295" s="39">
        <f t="shared" si="266"/>
        <v>2</v>
      </c>
      <c r="M295" s="60">
        <f t="shared" si="266"/>
        <v>3</v>
      </c>
      <c r="N295" s="178">
        <f t="shared" si="266"/>
        <v>3</v>
      </c>
      <c r="O295" s="62">
        <f t="shared" si="266"/>
        <v>0</v>
      </c>
      <c r="P295" s="39">
        <f t="shared" si="266"/>
        <v>2</v>
      </c>
      <c r="Q295" s="39">
        <f t="shared" si="266"/>
        <v>3</v>
      </c>
      <c r="R295" s="39">
        <f t="shared" si="266"/>
        <v>0</v>
      </c>
      <c r="S295" s="46">
        <f t="shared" ref="S295:U295" si="267">IF(K295=0,0,IF((O295/K295*100)&gt;120,120,O295/K295*100))</f>
        <v>0</v>
      </c>
      <c r="T295" s="46">
        <f t="shared" si="267"/>
        <v>100</v>
      </c>
      <c r="U295" s="46">
        <f t="shared" si="267"/>
        <v>100</v>
      </c>
      <c r="V295" s="46">
        <f t="shared" ref="V295:Y295" si="268">IF($N295=0,0,IF((O295/$N295*100)&gt;120,120,O295/$N295*100))</f>
        <v>0</v>
      </c>
      <c r="W295" s="46">
        <f t="shared" si="268"/>
        <v>66.66666667</v>
      </c>
      <c r="X295" s="46">
        <f t="shared" si="268"/>
        <v>100</v>
      </c>
      <c r="Y295" s="46">
        <f t="shared" si="268"/>
        <v>0</v>
      </c>
    </row>
    <row r="296" ht="14.25" customHeight="1">
      <c r="B296" s="39"/>
      <c r="C296" s="109" t="s">
        <v>323</v>
      </c>
      <c r="D296" s="77"/>
      <c r="E296" s="77"/>
      <c r="F296" s="77"/>
      <c r="G296" s="77"/>
      <c r="H296" s="77"/>
      <c r="I296" s="159"/>
      <c r="J296" s="110" t="s">
        <v>87</v>
      </c>
      <c r="K296" s="42">
        <v>0.0</v>
      </c>
      <c r="L296" s="42">
        <v>2.0</v>
      </c>
      <c r="M296" s="42">
        <v>3.0</v>
      </c>
      <c r="N296" s="42">
        <v>3.0</v>
      </c>
      <c r="O296" s="42">
        <v>0.0</v>
      </c>
      <c r="P296" s="42">
        <v>2.0</v>
      </c>
      <c r="Q296" s="253">
        <v>3.0</v>
      </c>
      <c r="R296" s="42"/>
      <c r="S296" s="46">
        <f t="shared" ref="S296:U296" si="269">IF(K296=0,0,IF((O296/K296*100)&gt;120,120,O296/K296*100))</f>
        <v>0</v>
      </c>
      <c r="T296" s="46">
        <f t="shared" si="269"/>
        <v>100</v>
      </c>
      <c r="U296" s="46">
        <f t="shared" si="269"/>
        <v>100</v>
      </c>
      <c r="V296" s="46">
        <f t="shared" ref="V296:Y296" si="270">IF($N296=0,0,IF((O296/$N296*100)&gt;120,120,O296/$N296*100))</f>
        <v>0</v>
      </c>
      <c r="W296" s="46">
        <f t="shared" si="270"/>
        <v>66.66666667</v>
      </c>
      <c r="X296" s="46">
        <f t="shared" si="270"/>
        <v>100</v>
      </c>
      <c r="Y296" s="46">
        <f t="shared" si="270"/>
        <v>0</v>
      </c>
    </row>
    <row r="297" ht="14.25" customHeight="1">
      <c r="B297" s="39"/>
      <c r="C297" s="109" t="s">
        <v>324</v>
      </c>
      <c r="D297" s="77"/>
      <c r="E297" s="77"/>
      <c r="F297" s="77"/>
      <c r="G297" s="77"/>
      <c r="H297" s="77"/>
      <c r="I297" s="159"/>
      <c r="J297" s="110" t="s">
        <v>66</v>
      </c>
      <c r="K297" s="42">
        <v>0.0</v>
      </c>
      <c r="L297" s="42">
        <v>0.0</v>
      </c>
      <c r="M297" s="42">
        <v>0.0</v>
      </c>
      <c r="N297" s="42">
        <v>0.0</v>
      </c>
      <c r="O297" s="42">
        <v>0.0</v>
      </c>
      <c r="P297" s="42">
        <v>0.0</v>
      </c>
      <c r="Q297" s="253">
        <v>0.0</v>
      </c>
      <c r="R297" s="42"/>
      <c r="S297" s="46">
        <f t="shared" ref="S297:U297" si="271">IF(K297=0,0,IF((O297/K297*100)&gt;120,120,O297/K297*100))</f>
        <v>0</v>
      </c>
      <c r="T297" s="46">
        <f t="shared" si="271"/>
        <v>0</v>
      </c>
      <c r="U297" s="46">
        <f t="shared" si="271"/>
        <v>0</v>
      </c>
      <c r="V297" s="46">
        <f t="shared" ref="V297:Y297" si="272">IF($N297=0,0,IF((O297/$N297*100)&gt;120,120,O297/$N297*100))</f>
        <v>0</v>
      </c>
      <c r="W297" s="46">
        <f t="shared" si="272"/>
        <v>0</v>
      </c>
      <c r="X297" s="46">
        <f t="shared" si="272"/>
        <v>0</v>
      </c>
      <c r="Y297" s="46">
        <f t="shared" si="272"/>
        <v>0</v>
      </c>
    </row>
    <row r="298" ht="14.25" customHeight="1">
      <c r="B298" s="39" t="s">
        <v>325</v>
      </c>
      <c r="C298" s="39"/>
      <c r="D298" s="77"/>
      <c r="E298" s="77"/>
      <c r="F298" s="77"/>
      <c r="G298" s="77"/>
      <c r="H298" s="77"/>
      <c r="I298" s="159"/>
      <c r="J298" s="103" t="s">
        <v>87</v>
      </c>
      <c r="K298" s="42">
        <v>0.0</v>
      </c>
      <c r="L298" s="42">
        <v>0.0</v>
      </c>
      <c r="M298" s="42">
        <v>0.0</v>
      </c>
      <c r="N298" s="42">
        <v>0.0</v>
      </c>
      <c r="O298" s="42">
        <v>0.0</v>
      </c>
      <c r="P298" s="42">
        <v>0.0</v>
      </c>
      <c r="Q298" s="42">
        <v>0.0</v>
      </c>
      <c r="R298" s="42">
        <v>0.0</v>
      </c>
      <c r="S298" s="46">
        <f t="shared" ref="S298:U298" si="273">IF(K298=0,0,IF((O298/K298*100)&gt;120,120,O298/K298*100))</f>
        <v>0</v>
      </c>
      <c r="T298" s="46">
        <f t="shared" si="273"/>
        <v>0</v>
      </c>
      <c r="U298" s="46">
        <f t="shared" si="273"/>
        <v>0</v>
      </c>
      <c r="V298" s="46">
        <f t="shared" ref="V298:Y298" si="274">IF($N298=0,0,IF((O298/$N298*100)&gt;120,120,O298/$N298*100))</f>
        <v>0</v>
      </c>
      <c r="W298" s="46">
        <f t="shared" si="274"/>
        <v>0</v>
      </c>
      <c r="X298" s="46">
        <f t="shared" si="274"/>
        <v>0</v>
      </c>
      <c r="Y298" s="46">
        <f t="shared" si="274"/>
        <v>0</v>
      </c>
    </row>
    <row r="299" ht="14.25" customHeight="1">
      <c r="B299" s="39" t="s">
        <v>326</v>
      </c>
      <c r="C299" s="39"/>
      <c r="D299" s="77"/>
      <c r="E299" s="77"/>
      <c r="F299" s="77"/>
      <c r="G299" s="77"/>
      <c r="H299" s="77"/>
      <c r="I299" s="159"/>
      <c r="J299" s="103" t="s">
        <v>95</v>
      </c>
      <c r="K299" s="42">
        <v>3.0</v>
      </c>
      <c r="L299" s="42">
        <v>6.0</v>
      </c>
      <c r="M299" s="42">
        <v>9.0</v>
      </c>
      <c r="N299" s="42">
        <v>12.0</v>
      </c>
      <c r="O299" s="42">
        <v>3.0</v>
      </c>
      <c r="P299" s="42">
        <v>6.0</v>
      </c>
      <c r="Q299" s="253">
        <v>9.0</v>
      </c>
      <c r="R299" s="42"/>
      <c r="S299" s="46">
        <f t="shared" ref="S299:U299" si="275">IF(K299=0,0,IF((O299/K299*100)&gt;120,120,O299/K299*100))</f>
        <v>100</v>
      </c>
      <c r="T299" s="46">
        <f t="shared" si="275"/>
        <v>100</v>
      </c>
      <c r="U299" s="46">
        <f t="shared" si="275"/>
        <v>100</v>
      </c>
      <c r="V299" s="46">
        <f t="shared" ref="V299:Y299" si="276">IF($N299=0,0,IF((O299/$N299*100)&gt;120,120,O299/$N299*100))</f>
        <v>25</v>
      </c>
      <c r="W299" s="46">
        <f t="shared" si="276"/>
        <v>50</v>
      </c>
      <c r="X299" s="46">
        <f t="shared" si="276"/>
        <v>75</v>
      </c>
      <c r="Y299" s="46">
        <f t="shared" si="276"/>
        <v>0</v>
      </c>
    </row>
    <row r="300" ht="14.25" customHeight="1">
      <c r="B300" s="39" t="s">
        <v>327</v>
      </c>
      <c r="C300" s="39"/>
      <c r="D300" s="77"/>
      <c r="E300" s="77"/>
      <c r="F300" s="77"/>
      <c r="G300" s="77"/>
      <c r="H300" s="77"/>
      <c r="I300" s="159"/>
      <c r="J300" s="103" t="s">
        <v>35</v>
      </c>
      <c r="K300" s="254">
        <f t="shared" ref="K300:R300" si="277">IF($I301+$I304+$I313=0,0,AVERAGE(IF($I301&gt;0,K301/$I301*100,0),IF($I304&gt;0,K304/$I304*100,0),IF($I313&gt;0,K313/$I313*100,0)))</f>
        <v>15.17807457</v>
      </c>
      <c r="L300" s="254">
        <f t="shared" si="277"/>
        <v>49.56378911</v>
      </c>
      <c r="M300" s="336">
        <f t="shared" si="277"/>
        <v>74.6484583</v>
      </c>
      <c r="N300" s="337">
        <f t="shared" si="277"/>
        <v>100</v>
      </c>
      <c r="O300" s="338">
        <f t="shared" si="277"/>
        <v>14.00946021</v>
      </c>
      <c r="P300" s="254">
        <f t="shared" si="277"/>
        <v>52.09728281</v>
      </c>
      <c r="Q300" s="254">
        <f t="shared" si="277"/>
        <v>81.92013571</v>
      </c>
      <c r="R300" s="254">
        <f t="shared" si="277"/>
        <v>0</v>
      </c>
      <c r="S300" s="46">
        <f t="shared" ref="S300:U300" si="278">IF(K300=0,0,IF((O300/K300*100)&gt;120,120,O300/K300*100))</f>
        <v>92.30064161</v>
      </c>
      <c r="T300" s="46">
        <f t="shared" si="278"/>
        <v>105.1115819</v>
      </c>
      <c r="U300" s="46">
        <f t="shared" si="278"/>
        <v>109.7412292</v>
      </c>
      <c r="V300" s="46">
        <f t="shared" ref="V300:Y300" si="279">IF($N300=0,0,IF((O300/$N300*100)&gt;120,120,O300/$N300*100))</f>
        <v>14.00946021</v>
      </c>
      <c r="W300" s="46">
        <f t="shared" si="279"/>
        <v>52.09728281</v>
      </c>
      <c r="X300" s="46">
        <f t="shared" si="279"/>
        <v>81.92013571</v>
      </c>
      <c r="Y300" s="46">
        <f t="shared" si="279"/>
        <v>0</v>
      </c>
    </row>
    <row r="301" ht="14.25" customHeight="1">
      <c r="B301" s="39"/>
      <c r="C301" s="109" t="s">
        <v>328</v>
      </c>
      <c r="D301" s="339"/>
      <c r="E301" s="77"/>
      <c r="F301" s="77"/>
      <c r="G301" s="77"/>
      <c r="H301" s="77"/>
      <c r="I301" s="42">
        <f>SUM(I302:I303)</f>
        <v>3012</v>
      </c>
      <c r="J301" s="110" t="s">
        <v>98</v>
      </c>
      <c r="K301" s="42">
        <f t="shared" ref="K301:R301" si="280">SUM(K302:K303)</f>
        <v>753</v>
      </c>
      <c r="L301" s="42">
        <f t="shared" si="280"/>
        <v>1506</v>
      </c>
      <c r="M301" s="42">
        <f t="shared" si="280"/>
        <v>2259</v>
      </c>
      <c r="N301" s="42">
        <f t="shared" si="280"/>
        <v>3012</v>
      </c>
      <c r="O301" s="42">
        <f t="shared" si="280"/>
        <v>753</v>
      </c>
      <c r="P301" s="42">
        <f t="shared" si="280"/>
        <v>1506</v>
      </c>
      <c r="Q301" s="42">
        <f t="shared" si="280"/>
        <v>2259</v>
      </c>
      <c r="R301" s="42">
        <f t="shared" si="280"/>
        <v>0</v>
      </c>
      <c r="S301" s="111"/>
      <c r="T301" s="111"/>
      <c r="U301" s="111"/>
      <c r="V301" s="111"/>
      <c r="W301" s="111"/>
      <c r="X301" s="111"/>
      <c r="Y301" s="111"/>
    </row>
    <row r="302" ht="14.25" customHeight="1">
      <c r="B302" s="39"/>
      <c r="C302" s="340"/>
      <c r="D302" s="5" t="s">
        <v>329</v>
      </c>
      <c r="E302" s="341"/>
      <c r="F302" s="77"/>
      <c r="G302" s="77"/>
      <c r="H302" s="77"/>
      <c r="I302" s="42">
        <v>360.0</v>
      </c>
      <c r="J302" s="110" t="s">
        <v>98</v>
      </c>
      <c r="K302" s="42">
        <v>90.0</v>
      </c>
      <c r="L302" s="42">
        <v>180.0</v>
      </c>
      <c r="M302" s="42">
        <v>270.0</v>
      </c>
      <c r="N302" s="42">
        <v>360.0</v>
      </c>
      <c r="O302" s="42">
        <v>90.0</v>
      </c>
      <c r="P302" s="42">
        <v>180.0</v>
      </c>
      <c r="Q302" s="253">
        <v>270.0</v>
      </c>
      <c r="R302" s="42"/>
      <c r="S302" s="111"/>
      <c r="T302" s="111"/>
      <c r="U302" s="111"/>
      <c r="V302" s="111"/>
      <c r="W302" s="111"/>
      <c r="X302" s="111"/>
      <c r="Y302" s="111"/>
    </row>
    <row r="303" ht="14.25" customHeight="1">
      <c r="B303" s="39"/>
      <c r="C303" s="340"/>
      <c r="D303" s="5" t="s">
        <v>330</v>
      </c>
      <c r="E303" s="341"/>
      <c r="F303" s="77"/>
      <c r="G303" s="77"/>
      <c r="H303" s="77"/>
      <c r="I303" s="42">
        <v>2652.0</v>
      </c>
      <c r="J303" s="110" t="s">
        <v>98</v>
      </c>
      <c r="K303" s="42">
        <f>I303/4</f>
        <v>663</v>
      </c>
      <c r="L303" s="42">
        <f>I303/2</f>
        <v>1326</v>
      </c>
      <c r="M303" s="42">
        <f>I303*3/4</f>
        <v>1989</v>
      </c>
      <c r="N303" s="42">
        <f>I303</f>
        <v>2652</v>
      </c>
      <c r="O303" s="42">
        <v>663.0</v>
      </c>
      <c r="P303" s="42">
        <v>1326.0</v>
      </c>
      <c r="Q303" s="253">
        <v>1989.0</v>
      </c>
      <c r="R303" s="42"/>
      <c r="S303" s="111"/>
      <c r="T303" s="111"/>
      <c r="U303" s="111"/>
      <c r="V303" s="111"/>
      <c r="W303" s="111"/>
      <c r="X303" s="111"/>
      <c r="Y303" s="111"/>
    </row>
    <row r="304" ht="14.25" customHeight="1">
      <c r="B304" s="39"/>
      <c r="C304" s="109" t="s">
        <v>331</v>
      </c>
      <c r="D304" s="339"/>
      <c r="E304" s="77"/>
      <c r="F304" s="77"/>
      <c r="G304" s="77"/>
      <c r="H304" s="77"/>
      <c r="I304" s="42">
        <f>SUM(I305:I312)</f>
        <v>1198</v>
      </c>
      <c r="J304" s="110" t="s">
        <v>98</v>
      </c>
      <c r="K304" s="42">
        <f>SUM(K305:K308)</f>
        <v>246</v>
      </c>
      <c r="L304" s="42">
        <f t="shared" ref="L304:R304" si="281">SUM(L305:L312)</f>
        <v>564</v>
      </c>
      <c r="M304" s="42">
        <f t="shared" si="281"/>
        <v>844</v>
      </c>
      <c r="N304" s="42">
        <f t="shared" si="281"/>
        <v>1198</v>
      </c>
      <c r="O304" s="42">
        <f t="shared" si="281"/>
        <v>204</v>
      </c>
      <c r="P304" s="42">
        <f t="shared" si="281"/>
        <v>552</v>
      </c>
      <c r="Q304" s="42">
        <f t="shared" si="281"/>
        <v>925</v>
      </c>
      <c r="R304" s="42">
        <f t="shared" si="281"/>
        <v>0</v>
      </c>
      <c r="S304" s="111"/>
      <c r="T304" s="111"/>
      <c r="U304" s="111"/>
      <c r="V304" s="111"/>
      <c r="W304" s="111"/>
      <c r="X304" s="111"/>
      <c r="Y304" s="111"/>
    </row>
    <row r="305" ht="14.25" customHeight="1">
      <c r="B305" s="39"/>
      <c r="C305" s="340"/>
      <c r="D305" s="5" t="s">
        <v>332</v>
      </c>
      <c r="E305" s="341"/>
      <c r="F305" s="77"/>
      <c r="G305" s="77"/>
      <c r="H305" s="77"/>
      <c r="I305" s="42">
        <f>17*12</f>
        <v>204</v>
      </c>
      <c r="J305" s="110" t="s">
        <v>98</v>
      </c>
      <c r="K305" s="42">
        <f t="shared" ref="K305:K309" si="282">I305/4</f>
        <v>51</v>
      </c>
      <c r="L305" s="42">
        <f t="shared" ref="L305:L309" si="283">I305/2</f>
        <v>102</v>
      </c>
      <c r="M305" s="42">
        <f t="shared" ref="M305:M309" si="284">0.75*I305</f>
        <v>153</v>
      </c>
      <c r="N305" s="42">
        <f t="shared" ref="N305:N309" si="285">I305</f>
        <v>204</v>
      </c>
      <c r="O305" s="42">
        <v>51.0</v>
      </c>
      <c r="P305" s="42">
        <v>102.0</v>
      </c>
      <c r="Q305" s="253">
        <v>153.0</v>
      </c>
      <c r="R305" s="42"/>
      <c r="S305" s="111"/>
      <c r="T305" s="111"/>
      <c r="U305" s="111"/>
      <c r="V305" s="111"/>
      <c r="W305" s="111"/>
      <c r="X305" s="111"/>
      <c r="Y305" s="111"/>
    </row>
    <row r="306" ht="14.25" customHeight="1">
      <c r="B306" s="39"/>
      <c r="C306" s="340"/>
      <c r="D306" s="5" t="s">
        <v>333</v>
      </c>
      <c r="E306" s="341"/>
      <c r="F306" s="77"/>
      <c r="G306" s="77"/>
      <c r="H306" s="77"/>
      <c r="I306" s="42">
        <v>528.0</v>
      </c>
      <c r="J306" s="110" t="s">
        <v>98</v>
      </c>
      <c r="K306" s="42">
        <f t="shared" si="282"/>
        <v>132</v>
      </c>
      <c r="L306" s="42">
        <f t="shared" si="283"/>
        <v>264</v>
      </c>
      <c r="M306" s="42">
        <f t="shared" si="284"/>
        <v>396</v>
      </c>
      <c r="N306" s="42">
        <f t="shared" si="285"/>
        <v>528</v>
      </c>
      <c r="O306" s="42">
        <v>105.0</v>
      </c>
      <c r="P306" s="42">
        <v>245.0</v>
      </c>
      <c r="Q306" s="42">
        <f>42*9</f>
        <v>378</v>
      </c>
      <c r="R306" s="42"/>
      <c r="S306" s="111"/>
      <c r="T306" s="111"/>
      <c r="U306" s="111"/>
      <c r="V306" s="111"/>
      <c r="W306" s="111"/>
      <c r="X306" s="111"/>
      <c r="Y306" s="111"/>
    </row>
    <row r="307" ht="14.25" customHeight="1">
      <c r="B307" s="39"/>
      <c r="C307" s="340"/>
      <c r="D307" s="5" t="s">
        <v>334</v>
      </c>
      <c r="E307" s="341"/>
      <c r="F307" s="77"/>
      <c r="G307" s="77"/>
      <c r="H307" s="77"/>
      <c r="I307" s="42">
        <v>48.0</v>
      </c>
      <c r="J307" s="110" t="s">
        <v>98</v>
      </c>
      <c r="K307" s="42">
        <f t="shared" si="282"/>
        <v>12</v>
      </c>
      <c r="L307" s="42">
        <f t="shared" si="283"/>
        <v>24</v>
      </c>
      <c r="M307" s="42">
        <f t="shared" si="284"/>
        <v>36</v>
      </c>
      <c r="N307" s="42">
        <f t="shared" si="285"/>
        <v>48</v>
      </c>
      <c r="O307" s="42">
        <v>9.0</v>
      </c>
      <c r="P307" s="42">
        <v>24.0</v>
      </c>
      <c r="Q307" s="253">
        <v>48.0</v>
      </c>
      <c r="R307" s="42"/>
      <c r="S307" s="111"/>
      <c r="T307" s="111"/>
      <c r="U307" s="111"/>
      <c r="V307" s="111"/>
      <c r="W307" s="111"/>
      <c r="X307" s="111"/>
      <c r="Y307" s="111"/>
    </row>
    <row r="308" ht="14.25" customHeight="1">
      <c r="B308" s="39"/>
      <c r="C308" s="340"/>
      <c r="D308" s="5" t="s">
        <v>335</v>
      </c>
      <c r="E308" s="341"/>
      <c r="F308" s="77"/>
      <c r="G308" s="77"/>
      <c r="H308" s="77"/>
      <c r="I308" s="42">
        <v>204.0</v>
      </c>
      <c r="J308" s="110" t="s">
        <v>98</v>
      </c>
      <c r="K308" s="42">
        <f t="shared" si="282"/>
        <v>51</v>
      </c>
      <c r="L308" s="42">
        <f t="shared" si="283"/>
        <v>102</v>
      </c>
      <c r="M308" s="42">
        <f t="shared" si="284"/>
        <v>153</v>
      </c>
      <c r="N308" s="42">
        <f t="shared" si="285"/>
        <v>204</v>
      </c>
      <c r="O308" s="42">
        <v>39.0</v>
      </c>
      <c r="P308" s="42">
        <v>102.0</v>
      </c>
      <c r="Q308" s="253">
        <v>153.0</v>
      </c>
      <c r="R308" s="42"/>
      <c r="S308" s="111"/>
      <c r="T308" s="111"/>
      <c r="U308" s="111"/>
      <c r="V308" s="111"/>
      <c r="W308" s="111"/>
      <c r="X308" s="111"/>
      <c r="Y308" s="111"/>
    </row>
    <row r="309" ht="14.25" customHeight="1">
      <c r="B309" s="39"/>
      <c r="C309" s="340"/>
      <c r="D309" s="5" t="s">
        <v>336</v>
      </c>
      <c r="E309" s="341"/>
      <c r="F309" s="77"/>
      <c r="G309" s="77"/>
      <c r="H309" s="77"/>
      <c r="I309" s="42">
        <v>0.0</v>
      </c>
      <c r="J309" s="110" t="s">
        <v>98</v>
      </c>
      <c r="K309" s="42">
        <f t="shared" si="282"/>
        <v>0</v>
      </c>
      <c r="L309" s="42">
        <f t="shared" si="283"/>
        <v>0</v>
      </c>
      <c r="M309" s="42">
        <f t="shared" si="284"/>
        <v>0</v>
      </c>
      <c r="N309" s="42">
        <f t="shared" si="285"/>
        <v>0</v>
      </c>
      <c r="O309" s="253">
        <v>0.0</v>
      </c>
      <c r="P309" s="253">
        <v>0.0</v>
      </c>
      <c r="Q309" s="253">
        <v>0.0</v>
      </c>
      <c r="R309" s="42"/>
      <c r="S309" s="111"/>
      <c r="T309" s="111"/>
      <c r="U309" s="111"/>
      <c r="V309" s="111"/>
      <c r="W309" s="111"/>
      <c r="X309" s="111"/>
      <c r="Y309" s="111"/>
    </row>
    <row r="310" ht="14.25" customHeight="1">
      <c r="B310" s="39"/>
      <c r="C310" s="340"/>
      <c r="D310" s="5" t="s">
        <v>337</v>
      </c>
      <c r="E310" s="341"/>
      <c r="F310" s="77"/>
      <c r="G310" s="77"/>
      <c r="H310" s="77"/>
      <c r="I310" s="42">
        <v>2.0</v>
      </c>
      <c r="J310" s="110" t="s">
        <v>98</v>
      </c>
      <c r="K310" s="42">
        <v>0.0</v>
      </c>
      <c r="L310" s="42">
        <v>1.0</v>
      </c>
      <c r="M310" s="42">
        <v>2.0</v>
      </c>
      <c r="N310" s="42">
        <v>2.0</v>
      </c>
      <c r="O310" s="42">
        <v>0.0</v>
      </c>
      <c r="P310" s="42">
        <v>2.0</v>
      </c>
      <c r="Q310" s="253">
        <v>2.0</v>
      </c>
      <c r="R310" s="42"/>
      <c r="S310" s="111"/>
      <c r="T310" s="111"/>
      <c r="U310" s="111"/>
      <c r="V310" s="111"/>
      <c r="W310" s="111"/>
      <c r="X310" s="111"/>
      <c r="Y310" s="111"/>
    </row>
    <row r="311" ht="14.25" customHeight="1">
      <c r="B311" s="39"/>
      <c r="C311" s="340"/>
      <c r="D311" s="5" t="s">
        <v>338</v>
      </c>
      <c r="E311" s="341"/>
      <c r="F311" s="77"/>
      <c r="G311" s="77"/>
      <c r="H311" s="77"/>
      <c r="I311" s="42">
        <v>201.0</v>
      </c>
      <c r="J311" s="110" t="s">
        <v>98</v>
      </c>
      <c r="K311" s="42">
        <v>0.0</v>
      </c>
      <c r="L311" s="42">
        <v>63.0</v>
      </c>
      <c r="M311" s="42">
        <v>93.0</v>
      </c>
      <c r="N311" s="253">
        <v>201.0</v>
      </c>
      <c r="O311" s="42">
        <v>0.0</v>
      </c>
      <c r="P311" s="42">
        <v>68.0</v>
      </c>
      <c r="Q311" s="253">
        <v>180.0</v>
      </c>
      <c r="R311" s="42"/>
      <c r="S311" s="111"/>
      <c r="T311" s="111"/>
      <c r="U311" s="111"/>
      <c r="V311" s="111"/>
      <c r="W311" s="111"/>
      <c r="X311" s="111"/>
      <c r="Y311" s="111"/>
    </row>
    <row r="312" ht="14.25" customHeight="1">
      <c r="B312" s="39"/>
      <c r="C312" s="340"/>
      <c r="D312" s="5" t="s">
        <v>339</v>
      </c>
      <c r="E312" s="341"/>
      <c r="F312" s="77"/>
      <c r="G312" s="77"/>
      <c r="H312" s="77"/>
      <c r="I312" s="42">
        <v>11.0</v>
      </c>
      <c r="J312" s="110" t="s">
        <v>98</v>
      </c>
      <c r="K312" s="42">
        <v>0.0</v>
      </c>
      <c r="L312" s="42">
        <v>8.0</v>
      </c>
      <c r="M312" s="42">
        <v>11.0</v>
      </c>
      <c r="N312" s="42">
        <v>11.0</v>
      </c>
      <c r="O312" s="42">
        <v>0.0</v>
      </c>
      <c r="P312" s="42">
        <v>9.0</v>
      </c>
      <c r="Q312" s="253">
        <v>11.0</v>
      </c>
      <c r="R312" s="42"/>
      <c r="S312" s="111"/>
      <c r="T312" s="111"/>
      <c r="U312" s="111"/>
      <c r="V312" s="111"/>
      <c r="W312" s="111"/>
      <c r="X312" s="111"/>
      <c r="Y312" s="111"/>
    </row>
    <row r="313" ht="14.25" customHeight="1">
      <c r="B313" s="39"/>
      <c r="C313" s="109" t="s">
        <v>340</v>
      </c>
      <c r="D313" s="339"/>
      <c r="E313" s="77"/>
      <c r="F313" s="77"/>
      <c r="G313" s="77"/>
      <c r="H313" s="77"/>
      <c r="I313" s="42">
        <f>SUM(I314:I315)</f>
        <v>186</v>
      </c>
      <c r="J313" s="110" t="s">
        <v>98</v>
      </c>
      <c r="K313" s="42">
        <f t="shared" ref="K313:R313" si="286">SUM(K314:K315)</f>
        <v>0</v>
      </c>
      <c r="L313" s="42">
        <f t="shared" si="286"/>
        <v>96</v>
      </c>
      <c r="M313" s="42">
        <f t="shared" si="286"/>
        <v>146</v>
      </c>
      <c r="N313" s="42">
        <f t="shared" si="286"/>
        <v>186</v>
      </c>
      <c r="O313" s="42">
        <f t="shared" si="286"/>
        <v>0</v>
      </c>
      <c r="P313" s="42">
        <f t="shared" si="286"/>
        <v>112</v>
      </c>
      <c r="Q313" s="42">
        <f t="shared" si="286"/>
        <v>174</v>
      </c>
      <c r="R313" s="42">
        <f t="shared" si="286"/>
        <v>0</v>
      </c>
      <c r="S313" s="111"/>
      <c r="T313" s="111"/>
      <c r="U313" s="111"/>
      <c r="V313" s="111"/>
      <c r="W313" s="111"/>
      <c r="X313" s="111"/>
      <c r="Y313" s="111"/>
    </row>
    <row r="314" ht="14.25" customHeight="1">
      <c r="B314" s="39"/>
      <c r="C314" s="340"/>
      <c r="D314" s="5" t="s">
        <v>341</v>
      </c>
      <c r="E314" s="341"/>
      <c r="F314" s="77"/>
      <c r="G314" s="77"/>
      <c r="H314" s="77"/>
      <c r="I314" s="42">
        <v>24.0</v>
      </c>
      <c r="J314" s="110" t="s">
        <v>98</v>
      </c>
      <c r="K314" s="42">
        <v>0.0</v>
      </c>
      <c r="L314" s="42">
        <v>16.0</v>
      </c>
      <c r="M314" s="42">
        <v>24.0</v>
      </c>
      <c r="N314" s="42">
        <v>24.0</v>
      </c>
      <c r="O314" s="42">
        <v>0.0</v>
      </c>
      <c r="P314" s="42">
        <v>16.0</v>
      </c>
      <c r="Q314" s="253">
        <v>24.0</v>
      </c>
      <c r="R314" s="42"/>
      <c r="S314" s="111"/>
      <c r="T314" s="111"/>
      <c r="U314" s="111"/>
      <c r="V314" s="111"/>
      <c r="W314" s="111"/>
      <c r="X314" s="111"/>
      <c r="Y314" s="111"/>
    </row>
    <row r="315" ht="14.25" customHeight="1">
      <c r="B315" s="39"/>
      <c r="C315" s="340"/>
      <c r="D315" s="5" t="s">
        <v>342</v>
      </c>
      <c r="E315" s="341"/>
      <c r="F315" s="77"/>
      <c r="G315" s="77"/>
      <c r="H315" s="77"/>
      <c r="I315" s="42">
        <v>162.0</v>
      </c>
      <c r="J315" s="110" t="s">
        <v>98</v>
      </c>
      <c r="K315" s="42">
        <v>0.0</v>
      </c>
      <c r="L315" s="42">
        <v>80.0</v>
      </c>
      <c r="M315" s="42">
        <v>122.0</v>
      </c>
      <c r="N315" s="42">
        <v>162.0</v>
      </c>
      <c r="O315" s="42">
        <v>0.0</v>
      </c>
      <c r="P315" s="42">
        <v>96.0</v>
      </c>
      <c r="Q315" s="253">
        <v>150.0</v>
      </c>
      <c r="R315" s="42"/>
      <c r="S315" s="111"/>
      <c r="T315" s="111"/>
      <c r="U315" s="111"/>
      <c r="V315" s="111"/>
      <c r="W315" s="111"/>
      <c r="X315" s="111"/>
      <c r="Y315" s="111"/>
    </row>
    <row r="316" ht="14.25" customHeight="1">
      <c r="B316" s="39" t="s">
        <v>343</v>
      </c>
      <c r="C316" s="39"/>
      <c r="D316" s="77"/>
      <c r="E316" s="77"/>
      <c r="F316" s="77"/>
      <c r="G316" s="77"/>
      <c r="H316" s="77"/>
      <c r="I316" s="159"/>
      <c r="J316" s="103" t="s">
        <v>35</v>
      </c>
      <c r="K316" s="143">
        <v>14.946236559139786</v>
      </c>
      <c r="L316" s="143">
        <v>50.645161290322584</v>
      </c>
      <c r="M316" s="143">
        <v>76.27240143369175</v>
      </c>
      <c r="N316" s="143">
        <v>100.0</v>
      </c>
      <c r="O316" s="42">
        <v>14.54</v>
      </c>
      <c r="P316" s="42">
        <v>50.47</v>
      </c>
      <c r="Q316" s="253">
        <v>81.92</v>
      </c>
      <c r="R316" s="42"/>
      <c r="S316" s="46">
        <f t="shared" ref="S316:U316" si="287">IF(K316=0,0,IF((O316/K316*100)&gt;120,120,O316/K316*100))</f>
        <v>97.28201439</v>
      </c>
      <c r="T316" s="46">
        <f t="shared" si="287"/>
        <v>99.65414013</v>
      </c>
      <c r="U316" s="46">
        <f t="shared" si="287"/>
        <v>107.4045113</v>
      </c>
      <c r="V316" s="46">
        <f t="shared" ref="V316:Y316" si="288">IF($N316=0,0,IF((O316/$N316*100)&gt;120,120,O316/$N316*100))</f>
        <v>14.54</v>
      </c>
      <c r="W316" s="46">
        <f t="shared" si="288"/>
        <v>50.47</v>
      </c>
      <c r="X316" s="46">
        <f t="shared" si="288"/>
        <v>81.92</v>
      </c>
      <c r="Y316" s="46">
        <f t="shared" si="288"/>
        <v>0</v>
      </c>
    </row>
    <row r="317" ht="14.25" customHeight="1">
      <c r="B317" s="39"/>
      <c r="C317" s="39"/>
      <c r="D317" s="39"/>
      <c r="E317" s="39"/>
      <c r="F317" s="39"/>
      <c r="G317" s="39"/>
      <c r="H317" s="39"/>
      <c r="I317" s="39"/>
      <c r="J317" s="39"/>
      <c r="K317" s="39"/>
      <c r="L317" s="39"/>
      <c r="M317" s="39"/>
      <c r="N317" s="39"/>
      <c r="O317" s="39"/>
      <c r="P317" s="39"/>
      <c r="Q317" s="39"/>
      <c r="R317" s="39"/>
      <c r="S317" s="39"/>
      <c r="T317" s="39"/>
      <c r="U317" s="39"/>
      <c r="V317" s="39"/>
      <c r="W317" s="39"/>
      <c r="X317" s="39"/>
      <c r="Y317" s="39"/>
    </row>
    <row r="318" ht="14.25" customHeight="1">
      <c r="B318" s="330"/>
      <c r="C318" s="331"/>
      <c r="D318" s="332"/>
      <c r="E318" s="332"/>
      <c r="F318" s="332"/>
      <c r="G318" s="333" t="s">
        <v>344</v>
      </c>
      <c r="H318" s="332"/>
      <c r="I318" s="332"/>
      <c r="J318" s="332"/>
      <c r="K318" s="334"/>
      <c r="L318" s="334"/>
      <c r="M318" s="334"/>
      <c r="N318" s="334"/>
      <c r="O318" s="334"/>
      <c r="P318" s="334"/>
      <c r="Q318" s="334"/>
      <c r="R318" s="334"/>
      <c r="S318" s="335">
        <f t="shared" ref="S318:U318" si="289">IF(SUM(K291:K300,K316)&gt;0,SUM(S291:S300,S316)/SUM(COUNTIF(K291:K300,"&gt;0"),COUNTIF(K316,"&gt;0")),0)</f>
        <v>96.527552</v>
      </c>
      <c r="T318" s="335">
        <f t="shared" si="289"/>
        <v>100.6808174</v>
      </c>
      <c r="U318" s="335">
        <f t="shared" si="289"/>
        <v>102.4493915</v>
      </c>
      <c r="V318" s="335">
        <f>SUM(V291:V316)/3</f>
        <v>17.84982007</v>
      </c>
      <c r="W318" s="335">
        <f t="shared" ref="W318:X318" si="290">SUM(W291:W316)/8</f>
        <v>52.40424368</v>
      </c>
      <c r="X318" s="335">
        <f t="shared" si="290"/>
        <v>79.85501696</v>
      </c>
      <c r="Y318" s="335">
        <f>SUM(Y291:Y316)/10</f>
        <v>0</v>
      </c>
    </row>
    <row r="319" ht="14.25" customHeight="1"/>
    <row r="320" ht="14.25" customHeight="1"/>
    <row r="321" ht="14.25" customHeight="1">
      <c r="B321" s="4" t="s">
        <v>345</v>
      </c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6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</row>
    <row r="322" ht="15.75" customHeight="1">
      <c r="B322" s="169" t="s">
        <v>2</v>
      </c>
      <c r="C322" s="8"/>
      <c r="D322" s="8"/>
      <c r="E322" s="8"/>
      <c r="F322" s="8"/>
      <c r="G322" s="8"/>
      <c r="H322" s="8"/>
      <c r="I322" s="324"/>
      <c r="J322" s="171" t="s">
        <v>3</v>
      </c>
      <c r="K322" s="11"/>
      <c r="L322" s="11"/>
      <c r="M322" s="11"/>
      <c r="N322" s="11"/>
      <c r="O322" s="11"/>
      <c r="P322" s="11"/>
      <c r="Q322" s="11"/>
      <c r="R322" s="12"/>
      <c r="S322" s="171" t="s">
        <v>4</v>
      </c>
      <c r="T322" s="11"/>
      <c r="U322" s="11"/>
      <c r="V322" s="11"/>
      <c r="W322" s="11"/>
      <c r="X322" s="11"/>
      <c r="Y322" s="12"/>
    </row>
    <row r="323" ht="14.25" customHeight="1">
      <c r="B323" s="13"/>
      <c r="I323" s="92"/>
      <c r="J323" s="172" t="s">
        <v>5</v>
      </c>
      <c r="K323" s="173" t="s">
        <v>62</v>
      </c>
      <c r="L323" s="17"/>
      <c r="M323" s="17"/>
      <c r="N323" s="18"/>
      <c r="O323" s="173" t="s">
        <v>63</v>
      </c>
      <c r="P323" s="17"/>
      <c r="Q323" s="17"/>
      <c r="R323" s="18"/>
      <c r="S323" s="173" t="s">
        <v>64</v>
      </c>
      <c r="T323" s="17"/>
      <c r="U323" s="18"/>
      <c r="V323" s="173" t="s">
        <v>9</v>
      </c>
      <c r="W323" s="17"/>
      <c r="X323" s="17"/>
      <c r="Y323" s="18"/>
    </row>
    <row r="324" ht="14.25" customHeight="1">
      <c r="B324" s="19"/>
      <c r="C324" s="20"/>
      <c r="D324" s="20"/>
      <c r="E324" s="20"/>
      <c r="F324" s="20"/>
      <c r="G324" s="20"/>
      <c r="H324" s="20"/>
      <c r="I324" s="21"/>
      <c r="J324" s="22"/>
      <c r="K324" s="174" t="s">
        <v>10</v>
      </c>
      <c r="L324" s="174" t="s">
        <v>11</v>
      </c>
      <c r="M324" s="174" t="s">
        <v>12</v>
      </c>
      <c r="N324" s="174" t="s">
        <v>13</v>
      </c>
      <c r="O324" s="174" t="s">
        <v>10</v>
      </c>
      <c r="P324" s="174" t="s">
        <v>11</v>
      </c>
      <c r="Q324" s="174" t="s">
        <v>12</v>
      </c>
      <c r="R324" s="174" t="s">
        <v>13</v>
      </c>
      <c r="S324" s="174" t="s">
        <v>10</v>
      </c>
      <c r="T324" s="174" t="s">
        <v>11</v>
      </c>
      <c r="U324" s="174" t="s">
        <v>12</v>
      </c>
      <c r="V324" s="174" t="s">
        <v>10</v>
      </c>
      <c r="W324" s="174" t="s">
        <v>11</v>
      </c>
      <c r="X324" s="174" t="s">
        <v>12</v>
      </c>
      <c r="Y324" s="174" t="s">
        <v>13</v>
      </c>
    </row>
    <row r="325" ht="14.25" customHeight="1">
      <c r="B325" s="176">
        <v>-1.0</v>
      </c>
      <c r="C325" s="27"/>
      <c r="D325" s="27"/>
      <c r="E325" s="27"/>
      <c r="F325" s="27"/>
      <c r="G325" s="27"/>
      <c r="H325" s="27"/>
      <c r="I325" s="325"/>
      <c r="J325" s="177">
        <v>-2.0</v>
      </c>
      <c r="K325" s="177">
        <v>-3.0</v>
      </c>
      <c r="L325" s="177">
        <v>-4.0</v>
      </c>
      <c r="M325" s="177">
        <v>-5.0</v>
      </c>
      <c r="N325" s="177">
        <v>-6.0</v>
      </c>
      <c r="O325" s="177">
        <v>-7.0</v>
      </c>
      <c r="P325" s="177">
        <v>-8.0</v>
      </c>
      <c r="Q325" s="177">
        <v>-9.0</v>
      </c>
      <c r="R325" s="177">
        <v>-10.0</v>
      </c>
      <c r="S325" s="177">
        <v>-11.0</v>
      </c>
      <c r="T325" s="177">
        <v>-12.0</v>
      </c>
      <c r="U325" s="177">
        <v>-13.0</v>
      </c>
      <c r="V325" s="177">
        <v>-14.0</v>
      </c>
      <c r="W325" s="177">
        <v>-15.0</v>
      </c>
      <c r="X325" s="177">
        <v>-16.0</v>
      </c>
      <c r="Y325" s="177">
        <v>-17.0</v>
      </c>
    </row>
    <row r="326" ht="14.25" customHeight="1">
      <c r="B326" s="35"/>
      <c r="C326" s="35"/>
      <c r="D326" s="35"/>
      <c r="E326" s="35"/>
      <c r="F326" s="35"/>
      <c r="G326" s="35"/>
      <c r="H326" s="35"/>
      <c r="I326" s="35"/>
      <c r="J326" s="35"/>
      <c r="K326" s="35"/>
      <c r="L326" s="35"/>
      <c r="M326" s="35"/>
      <c r="N326" s="35"/>
      <c r="O326" s="35"/>
      <c r="P326" s="35"/>
      <c r="Q326" s="35"/>
      <c r="R326" s="35"/>
      <c r="S326" s="35"/>
      <c r="T326" s="35"/>
      <c r="U326" s="35"/>
      <c r="V326" s="35"/>
      <c r="W326" s="35"/>
      <c r="X326" s="35"/>
      <c r="Y326" s="35"/>
    </row>
    <row r="327" ht="14.25" customHeight="1">
      <c r="B327" s="39" t="s">
        <v>346</v>
      </c>
      <c r="C327" s="39"/>
      <c r="D327" s="77"/>
      <c r="E327" s="77"/>
      <c r="F327" s="77"/>
      <c r="G327" s="77"/>
      <c r="H327" s="77"/>
      <c r="I327" s="159"/>
      <c r="J327" s="103" t="s">
        <v>85</v>
      </c>
      <c r="K327" s="39">
        <f t="shared" ref="K327:R327" si="291">SUM(K328:K329)</f>
        <v>0</v>
      </c>
      <c r="L327" s="39">
        <f t="shared" si="291"/>
        <v>1</v>
      </c>
      <c r="M327" s="60">
        <f t="shared" si="291"/>
        <v>2</v>
      </c>
      <c r="N327" s="178">
        <f t="shared" si="291"/>
        <v>3</v>
      </c>
      <c r="O327" s="62">
        <f t="shared" si="291"/>
        <v>0</v>
      </c>
      <c r="P327" s="39">
        <f t="shared" si="291"/>
        <v>1</v>
      </c>
      <c r="Q327" s="39">
        <f t="shared" si="291"/>
        <v>2</v>
      </c>
      <c r="R327" s="39">
        <f t="shared" si="291"/>
        <v>0</v>
      </c>
      <c r="S327" s="46">
        <f t="shared" ref="S327:U327" si="292">IF(K327=0,0,IF((O327/K327*100)&gt;120,120,O327/K327*100))</f>
        <v>0</v>
      </c>
      <c r="T327" s="46">
        <f t="shared" si="292"/>
        <v>100</v>
      </c>
      <c r="U327" s="46">
        <f t="shared" si="292"/>
        <v>100</v>
      </c>
      <c r="V327" s="46">
        <f t="shared" ref="V327:Y327" si="293">IF($N327=0,0,IF((O327/$N327*100)&gt;120,120,O327/$N327*100))</f>
        <v>0</v>
      </c>
      <c r="W327" s="46">
        <f t="shared" si="293"/>
        <v>33.33333333</v>
      </c>
      <c r="X327" s="46">
        <f t="shared" si="293"/>
        <v>66.66666667</v>
      </c>
      <c r="Y327" s="46">
        <f t="shared" si="293"/>
        <v>0</v>
      </c>
    </row>
    <row r="328" ht="14.25" customHeight="1">
      <c r="B328" s="39"/>
      <c r="C328" s="109" t="s">
        <v>347</v>
      </c>
      <c r="D328" s="77"/>
      <c r="E328" s="77"/>
      <c r="F328" s="77"/>
      <c r="G328" s="77"/>
      <c r="H328" s="77"/>
      <c r="I328" s="159"/>
      <c r="J328" s="110" t="s">
        <v>87</v>
      </c>
      <c r="K328" s="42">
        <v>0.0</v>
      </c>
      <c r="L328" s="42">
        <v>1.0</v>
      </c>
      <c r="M328" s="42">
        <v>2.0</v>
      </c>
      <c r="N328" s="42">
        <v>2.0</v>
      </c>
      <c r="O328" s="42">
        <v>0.0</v>
      </c>
      <c r="P328" s="42">
        <v>1.0</v>
      </c>
      <c r="Q328" s="253">
        <v>2.0</v>
      </c>
      <c r="R328" s="42"/>
      <c r="S328" s="46">
        <f t="shared" ref="S328:U328" si="294">IF(K328=0,0,IF((O328/K328*100)&gt;120,120,O328/K328*100))</f>
        <v>0</v>
      </c>
      <c r="T328" s="46">
        <f t="shared" si="294"/>
        <v>100</v>
      </c>
      <c r="U328" s="46">
        <f t="shared" si="294"/>
        <v>100</v>
      </c>
      <c r="V328" s="46">
        <f t="shared" ref="V328:Y328" si="295">IF($N328=0,0,IF((O328/$N328*100)&gt;120,120,O328/$N328*100))</f>
        <v>0</v>
      </c>
      <c r="W328" s="46">
        <f t="shared" si="295"/>
        <v>50</v>
      </c>
      <c r="X328" s="46">
        <f t="shared" si="295"/>
        <v>100</v>
      </c>
      <c r="Y328" s="46">
        <f t="shared" si="295"/>
        <v>0</v>
      </c>
    </row>
    <row r="329" ht="14.25" customHeight="1">
      <c r="B329" s="39"/>
      <c r="C329" s="109" t="s">
        <v>348</v>
      </c>
      <c r="D329" s="77"/>
      <c r="E329" s="77"/>
      <c r="F329" s="77"/>
      <c r="G329" s="77"/>
      <c r="H329" s="77"/>
      <c r="I329" s="159"/>
      <c r="J329" s="110" t="s">
        <v>66</v>
      </c>
      <c r="K329" s="42">
        <v>0.0</v>
      </c>
      <c r="L329" s="42">
        <v>0.0</v>
      </c>
      <c r="M329" s="42">
        <v>0.0</v>
      </c>
      <c r="N329" s="42">
        <v>1.0</v>
      </c>
      <c r="O329" s="42">
        <v>0.0</v>
      </c>
      <c r="P329" s="42">
        <v>0.0</v>
      </c>
      <c r="Q329" s="253">
        <v>0.0</v>
      </c>
      <c r="R329" s="42"/>
      <c r="S329" s="46">
        <f t="shared" ref="S329:U329" si="296">IF(K329=0,0,IF((O329/K329*100)&gt;120,120,O329/K329*100))</f>
        <v>0</v>
      </c>
      <c r="T329" s="46">
        <f t="shared" si="296"/>
        <v>0</v>
      </c>
      <c r="U329" s="46">
        <f t="shared" si="296"/>
        <v>0</v>
      </c>
      <c r="V329" s="46">
        <f t="shared" ref="V329:Y329" si="297">IF($N329=0,0,IF((O329/$N329*100)&gt;120,120,O329/$N329*100))</f>
        <v>0</v>
      </c>
      <c r="W329" s="46">
        <f t="shared" si="297"/>
        <v>0</v>
      </c>
      <c r="X329" s="46">
        <f t="shared" si="297"/>
        <v>0</v>
      </c>
      <c r="Y329" s="46">
        <f t="shared" si="297"/>
        <v>0</v>
      </c>
    </row>
    <row r="330" ht="14.25" customHeight="1">
      <c r="B330" s="39" t="s">
        <v>349</v>
      </c>
      <c r="C330" s="39"/>
      <c r="D330" s="77"/>
      <c r="E330" s="77"/>
      <c r="F330" s="77"/>
      <c r="G330" s="77"/>
      <c r="H330" s="77"/>
      <c r="I330" s="159"/>
      <c r="J330" s="103" t="s">
        <v>85</v>
      </c>
      <c r="K330" s="39">
        <f t="shared" ref="K330:R330" si="298">SUM(K331:K332)</f>
        <v>0</v>
      </c>
      <c r="L330" s="39">
        <f t="shared" si="298"/>
        <v>1</v>
      </c>
      <c r="M330" s="60">
        <f t="shared" si="298"/>
        <v>2</v>
      </c>
      <c r="N330" s="178">
        <f t="shared" si="298"/>
        <v>3</v>
      </c>
      <c r="O330" s="62">
        <f t="shared" si="298"/>
        <v>0</v>
      </c>
      <c r="P330" s="39">
        <f t="shared" si="298"/>
        <v>1</v>
      </c>
      <c r="Q330" s="39">
        <f t="shared" si="298"/>
        <v>2</v>
      </c>
      <c r="R330" s="39">
        <f t="shared" si="298"/>
        <v>0</v>
      </c>
      <c r="S330" s="46">
        <f t="shared" ref="S330:U330" si="299">IF(K330=0,0,IF((O330/K330*100)&gt;120,120,O330/K330*100))</f>
        <v>0</v>
      </c>
      <c r="T330" s="46">
        <f t="shared" si="299"/>
        <v>100</v>
      </c>
      <c r="U330" s="46">
        <f t="shared" si="299"/>
        <v>100</v>
      </c>
      <c r="V330" s="46">
        <f t="shared" ref="V330:Y330" si="300">IF($N330=0,0,IF((O330/$N330*100)&gt;120,120,O330/$N330*100))</f>
        <v>0</v>
      </c>
      <c r="W330" s="46">
        <f t="shared" si="300"/>
        <v>33.33333333</v>
      </c>
      <c r="X330" s="46">
        <f t="shared" si="300"/>
        <v>66.66666667</v>
      </c>
      <c r="Y330" s="46">
        <f t="shared" si="300"/>
        <v>0</v>
      </c>
    </row>
    <row r="331" ht="14.25" customHeight="1">
      <c r="B331" s="39"/>
      <c r="C331" s="109" t="s">
        <v>350</v>
      </c>
      <c r="D331" s="77"/>
      <c r="E331" s="77"/>
      <c r="F331" s="77"/>
      <c r="G331" s="77"/>
      <c r="H331" s="77"/>
      <c r="I331" s="159"/>
      <c r="J331" s="110" t="s">
        <v>87</v>
      </c>
      <c r="K331" s="42">
        <v>0.0</v>
      </c>
      <c r="L331" s="42">
        <v>1.0</v>
      </c>
      <c r="M331" s="42">
        <v>2.0</v>
      </c>
      <c r="N331" s="42">
        <v>2.0</v>
      </c>
      <c r="O331" s="42">
        <v>0.0</v>
      </c>
      <c r="P331" s="42">
        <v>1.0</v>
      </c>
      <c r="Q331" s="253">
        <v>2.0</v>
      </c>
      <c r="R331" s="42"/>
      <c r="S331" s="46">
        <f t="shared" ref="S331:U331" si="301">IF(K331=0,0,IF((O331/K331*100)&gt;120,120,O331/K331*100))</f>
        <v>0</v>
      </c>
      <c r="T331" s="46">
        <f t="shared" si="301"/>
        <v>100</v>
      </c>
      <c r="U331" s="46">
        <f t="shared" si="301"/>
        <v>100</v>
      </c>
      <c r="V331" s="46">
        <f t="shared" ref="V331:Y331" si="302">IF($N331=0,0,IF((O331/$N331*100)&gt;120,120,O331/$N331*100))</f>
        <v>0</v>
      </c>
      <c r="W331" s="46">
        <f t="shared" si="302"/>
        <v>50</v>
      </c>
      <c r="X331" s="46">
        <f t="shared" si="302"/>
        <v>100</v>
      </c>
      <c r="Y331" s="46">
        <f t="shared" si="302"/>
        <v>0</v>
      </c>
    </row>
    <row r="332" ht="14.25" customHeight="1">
      <c r="B332" s="39"/>
      <c r="C332" s="109" t="s">
        <v>351</v>
      </c>
      <c r="D332" s="77"/>
      <c r="E332" s="77"/>
      <c r="F332" s="77"/>
      <c r="G332" s="77"/>
      <c r="H332" s="77"/>
      <c r="I332" s="159"/>
      <c r="J332" s="110" t="s">
        <v>66</v>
      </c>
      <c r="K332" s="42">
        <v>0.0</v>
      </c>
      <c r="L332" s="42">
        <v>0.0</v>
      </c>
      <c r="M332" s="42">
        <v>0.0</v>
      </c>
      <c r="N332" s="42">
        <v>1.0</v>
      </c>
      <c r="O332" s="42">
        <v>0.0</v>
      </c>
      <c r="P332" s="42">
        <v>0.0</v>
      </c>
      <c r="Q332" s="253">
        <v>0.0</v>
      </c>
      <c r="R332" s="42"/>
      <c r="S332" s="46">
        <f t="shared" ref="S332:U332" si="303">IF(K332=0,0,IF((O332/K332*100)&gt;120,120,O332/K332*100))</f>
        <v>0</v>
      </c>
      <c r="T332" s="46">
        <f t="shared" si="303"/>
        <v>0</v>
      </c>
      <c r="U332" s="46">
        <f t="shared" si="303"/>
        <v>0</v>
      </c>
      <c r="V332" s="46">
        <f t="shared" ref="V332:Y332" si="304">IF($N332=0,0,IF((O332/$N332*100)&gt;120,120,O332/$N332*100))</f>
        <v>0</v>
      </c>
      <c r="W332" s="46">
        <f t="shared" si="304"/>
        <v>0</v>
      </c>
      <c r="X332" s="46">
        <f t="shared" si="304"/>
        <v>0</v>
      </c>
      <c r="Y332" s="46">
        <f t="shared" si="304"/>
        <v>0</v>
      </c>
    </row>
    <row r="333" ht="14.25" customHeight="1">
      <c r="B333" s="39" t="s">
        <v>352</v>
      </c>
      <c r="C333" s="39"/>
      <c r="D333" s="77"/>
      <c r="E333" s="77"/>
      <c r="F333" s="77"/>
      <c r="G333" s="77"/>
      <c r="H333" s="77"/>
      <c r="I333" s="159"/>
      <c r="J333" s="103" t="s">
        <v>87</v>
      </c>
      <c r="K333" s="42">
        <v>0.0</v>
      </c>
      <c r="L333" s="42">
        <v>0.0</v>
      </c>
      <c r="M333" s="42">
        <v>1.0</v>
      </c>
      <c r="N333" s="42">
        <v>1.0</v>
      </c>
      <c r="O333" s="42">
        <v>0.0</v>
      </c>
      <c r="P333" s="42">
        <v>0.0</v>
      </c>
      <c r="Q333" s="253">
        <v>0.0</v>
      </c>
      <c r="R333" s="42"/>
      <c r="S333" s="46">
        <f t="shared" ref="S333:U333" si="305">IF(K333=0,0,IF((O333/K333*100)&gt;120,120,O333/K333*100))</f>
        <v>0</v>
      </c>
      <c r="T333" s="46">
        <f t="shared" si="305"/>
        <v>0</v>
      </c>
      <c r="U333" s="46">
        <f t="shared" si="305"/>
        <v>0</v>
      </c>
      <c r="V333" s="46">
        <f t="shared" ref="V333:Y333" si="306">IF($N333=0,0,IF((O333/$N333*100)&gt;120,120,O333/$N333*100))</f>
        <v>0</v>
      </c>
      <c r="W333" s="46">
        <f t="shared" si="306"/>
        <v>0</v>
      </c>
      <c r="X333" s="46">
        <f t="shared" si="306"/>
        <v>0</v>
      </c>
      <c r="Y333" s="46">
        <f t="shared" si="306"/>
        <v>0</v>
      </c>
    </row>
    <row r="334" ht="14.25" customHeight="1">
      <c r="B334" s="39" t="s">
        <v>353</v>
      </c>
      <c r="C334" s="39"/>
      <c r="D334" s="77"/>
      <c r="E334" s="77"/>
      <c r="F334" s="77"/>
      <c r="G334" s="77"/>
      <c r="H334" s="77"/>
      <c r="I334" s="159"/>
      <c r="J334" s="103" t="s">
        <v>95</v>
      </c>
      <c r="K334" s="42">
        <v>6.0</v>
      </c>
      <c r="L334" s="42">
        <v>12.0</v>
      </c>
      <c r="M334" s="42">
        <v>18.0</v>
      </c>
      <c r="N334" s="42">
        <v>24.0</v>
      </c>
      <c r="O334" s="42">
        <v>6.0</v>
      </c>
      <c r="P334" s="42">
        <v>12.0</v>
      </c>
      <c r="Q334" s="253">
        <v>18.0</v>
      </c>
      <c r="R334" s="42"/>
      <c r="S334" s="46">
        <f t="shared" ref="S334:U334" si="307">IF(K334=0,0,IF((O334/K334*100)&gt;120,120,O334/K334*100))</f>
        <v>100</v>
      </c>
      <c r="T334" s="46">
        <f t="shared" si="307"/>
        <v>100</v>
      </c>
      <c r="U334" s="46">
        <f t="shared" si="307"/>
        <v>100</v>
      </c>
      <c r="V334" s="46">
        <f t="shared" ref="V334:Y334" si="308">IF($N334=0,0,IF((O334/$N334*100)&gt;120,120,O334/$N334*100))</f>
        <v>25</v>
      </c>
      <c r="W334" s="46">
        <f t="shared" si="308"/>
        <v>50</v>
      </c>
      <c r="X334" s="46">
        <f t="shared" si="308"/>
        <v>75</v>
      </c>
      <c r="Y334" s="46">
        <f t="shared" si="308"/>
        <v>0</v>
      </c>
    </row>
    <row r="335" ht="14.25" customHeight="1">
      <c r="B335" s="39" t="s">
        <v>354</v>
      </c>
      <c r="C335" s="39"/>
      <c r="D335" s="77"/>
      <c r="E335" s="77"/>
      <c r="F335" s="77"/>
      <c r="G335" s="77"/>
      <c r="H335" s="77"/>
      <c r="I335" s="159"/>
      <c r="J335" s="103" t="s">
        <v>35</v>
      </c>
      <c r="K335" s="254">
        <f t="shared" ref="K335:R335" si="309">IF($I336+$I338+$I353=0,0,AVERAGE(IF($I336&gt;0,K336/$I336*100,0),IF($I338&gt;0,K338/$I338*100,0),IF($I353&gt;0,K353/$I353*100,0)))</f>
        <v>17.50842107</v>
      </c>
      <c r="L335" s="254">
        <f t="shared" si="309"/>
        <v>35.1185306</v>
      </c>
      <c r="M335" s="336">
        <f t="shared" si="309"/>
        <v>48.39311061</v>
      </c>
      <c r="N335" s="337">
        <f t="shared" si="309"/>
        <v>52.61600604</v>
      </c>
      <c r="O335" s="338">
        <f t="shared" si="309"/>
        <v>21.37293534</v>
      </c>
      <c r="P335" s="254">
        <f t="shared" si="309"/>
        <v>37.87894837</v>
      </c>
      <c r="Q335" s="254">
        <f t="shared" si="309"/>
        <v>46.29719862</v>
      </c>
      <c r="R335" s="254">
        <f t="shared" si="309"/>
        <v>0</v>
      </c>
      <c r="S335" s="46">
        <f t="shared" ref="S335:U335" si="310">IF(K335=0,0,IF((O335/K335*100)&gt;120,120,O335/K335*100))</f>
        <v>120</v>
      </c>
      <c r="T335" s="46">
        <f t="shared" si="310"/>
        <v>107.8602884</v>
      </c>
      <c r="U335" s="46">
        <f t="shared" si="310"/>
        <v>95.66898685</v>
      </c>
      <c r="V335" s="46">
        <f t="shared" ref="V335:Y335" si="311">IF($N335=0,0,IF((O335/$N335*100)&gt;120,120,O335/$N335*100))</f>
        <v>40.62059617</v>
      </c>
      <c r="W335" s="46">
        <f t="shared" si="311"/>
        <v>71.99130306</v>
      </c>
      <c r="X335" s="46">
        <f t="shared" si="311"/>
        <v>87.99071253</v>
      </c>
      <c r="Y335" s="46">
        <f t="shared" si="311"/>
        <v>0</v>
      </c>
    </row>
    <row r="336" ht="14.25" customHeight="1">
      <c r="B336" s="39"/>
      <c r="C336" s="109" t="s">
        <v>355</v>
      </c>
      <c r="D336" s="77"/>
      <c r="E336" s="77"/>
      <c r="F336" s="77"/>
      <c r="G336" s="77"/>
      <c r="H336" s="77"/>
      <c r="I336" s="42">
        <f>SUM(I337)</f>
        <v>0</v>
      </c>
      <c r="J336" s="110" t="s">
        <v>98</v>
      </c>
      <c r="K336" s="42">
        <f t="shared" ref="K336:R336" si="312">SUM(K337)</f>
        <v>0</v>
      </c>
      <c r="L336" s="42">
        <f t="shared" si="312"/>
        <v>0</v>
      </c>
      <c r="M336" s="42">
        <f t="shared" si="312"/>
        <v>0</v>
      </c>
      <c r="N336" s="42">
        <f t="shared" si="312"/>
        <v>0</v>
      </c>
      <c r="O336" s="42">
        <f t="shared" si="312"/>
        <v>0</v>
      </c>
      <c r="P336" s="42">
        <f t="shared" si="312"/>
        <v>0</v>
      </c>
      <c r="Q336" s="42">
        <f t="shared" si="312"/>
        <v>0</v>
      </c>
      <c r="R336" s="42">
        <f t="shared" si="312"/>
        <v>0</v>
      </c>
      <c r="S336" s="111"/>
      <c r="T336" s="111"/>
      <c r="U336" s="111"/>
      <c r="V336" s="111"/>
      <c r="W336" s="111"/>
      <c r="X336" s="111"/>
      <c r="Y336" s="111"/>
    </row>
    <row r="337" ht="14.25" customHeight="1">
      <c r="B337" s="39"/>
      <c r="C337" s="109"/>
      <c r="D337" s="77"/>
      <c r="E337" s="77"/>
      <c r="F337" s="77"/>
      <c r="G337" s="77"/>
      <c r="H337" s="77"/>
      <c r="I337" s="42"/>
      <c r="J337" s="110" t="s">
        <v>98</v>
      </c>
      <c r="K337" s="42"/>
      <c r="L337" s="42"/>
      <c r="M337" s="42"/>
      <c r="N337" s="42"/>
      <c r="O337" s="42"/>
      <c r="P337" s="42"/>
      <c r="Q337" s="42"/>
      <c r="R337" s="42"/>
      <c r="S337" s="111"/>
      <c r="T337" s="111"/>
      <c r="U337" s="111"/>
      <c r="V337" s="111"/>
      <c r="W337" s="111"/>
      <c r="X337" s="111"/>
      <c r="Y337" s="111"/>
    </row>
    <row r="338" ht="14.25" customHeight="1">
      <c r="B338" s="39"/>
      <c r="C338" s="109" t="s">
        <v>356</v>
      </c>
      <c r="D338" s="339"/>
      <c r="E338" s="77"/>
      <c r="F338" s="77"/>
      <c r="G338" s="77"/>
      <c r="H338" s="77"/>
      <c r="I338" s="42">
        <f>SUM(I339:I352)</f>
        <v>3631</v>
      </c>
      <c r="J338" s="110" t="s">
        <v>98</v>
      </c>
      <c r="K338" s="42">
        <f t="shared" ref="K338:R338" si="313">SUM(K339:K352)</f>
        <v>371</v>
      </c>
      <c r="L338" s="42">
        <f t="shared" si="313"/>
        <v>1591</v>
      </c>
      <c r="M338" s="42">
        <f t="shared" si="313"/>
        <v>3037</v>
      </c>
      <c r="N338" s="42">
        <f t="shared" si="313"/>
        <v>3497</v>
      </c>
      <c r="O338" s="42">
        <f t="shared" si="313"/>
        <v>373</v>
      </c>
      <c r="P338" s="42">
        <f t="shared" si="313"/>
        <v>2171</v>
      </c>
      <c r="Q338" s="42">
        <f t="shared" si="313"/>
        <v>3088</v>
      </c>
      <c r="R338" s="42">
        <f t="shared" si="313"/>
        <v>0</v>
      </c>
      <c r="S338" s="111"/>
      <c r="T338" s="111"/>
      <c r="U338" s="111"/>
      <c r="V338" s="111"/>
      <c r="W338" s="111"/>
      <c r="X338" s="111"/>
      <c r="Y338" s="111"/>
    </row>
    <row r="339" ht="14.25" customHeight="1">
      <c r="B339" s="39"/>
      <c r="C339" s="340"/>
      <c r="D339" s="5" t="s">
        <v>357</v>
      </c>
      <c r="E339" s="341"/>
      <c r="F339" s="77"/>
      <c r="G339" s="77"/>
      <c r="H339" s="77"/>
      <c r="I339" s="42">
        <v>89.0</v>
      </c>
      <c r="J339" s="110" t="s">
        <v>98</v>
      </c>
      <c r="K339" s="42">
        <v>0.0</v>
      </c>
      <c r="L339" s="42">
        <v>40.0</v>
      </c>
      <c r="M339" s="42">
        <v>89.0</v>
      </c>
      <c r="N339" s="42">
        <v>89.0</v>
      </c>
      <c r="O339" s="42">
        <v>0.0</v>
      </c>
      <c r="P339" s="42">
        <v>89.0</v>
      </c>
      <c r="Q339" s="253">
        <v>89.0</v>
      </c>
      <c r="R339" s="42"/>
      <c r="S339" s="111"/>
      <c r="T339" s="111"/>
      <c r="U339" s="111"/>
      <c r="V339" s="111"/>
      <c r="W339" s="111"/>
      <c r="X339" s="111"/>
      <c r="Y339" s="111"/>
    </row>
    <row r="340" ht="14.25" customHeight="1">
      <c r="B340" s="39"/>
      <c r="C340" s="340"/>
      <c r="D340" s="5" t="s">
        <v>358</v>
      </c>
      <c r="E340" s="341"/>
      <c r="F340" s="77"/>
      <c r="G340" s="77"/>
      <c r="H340" s="77"/>
      <c r="I340" s="42">
        <v>629.0</v>
      </c>
      <c r="J340" s="110" t="s">
        <v>98</v>
      </c>
      <c r="K340" s="42">
        <v>0.0</v>
      </c>
      <c r="L340" s="42">
        <v>300.0</v>
      </c>
      <c r="M340" s="42">
        <v>629.0</v>
      </c>
      <c r="N340" s="42">
        <v>629.0</v>
      </c>
      <c r="O340" s="42">
        <v>0.0</v>
      </c>
      <c r="P340" s="42">
        <v>561.0</v>
      </c>
      <c r="Q340" s="253">
        <v>620.0</v>
      </c>
      <c r="R340" s="42"/>
      <c r="S340" s="111"/>
      <c r="T340" s="111"/>
      <c r="U340" s="111"/>
      <c r="V340" s="111"/>
      <c r="W340" s="111"/>
      <c r="X340" s="111"/>
      <c r="Y340" s="111"/>
    </row>
    <row r="341" ht="14.25" customHeight="1">
      <c r="B341" s="39"/>
      <c r="C341" s="340"/>
      <c r="D341" s="5" t="s">
        <v>359</v>
      </c>
      <c r="E341" s="341"/>
      <c r="F341" s="77"/>
      <c r="G341" s="77"/>
      <c r="H341" s="77"/>
      <c r="I341" s="42">
        <v>210.0</v>
      </c>
      <c r="J341" s="110" t="s">
        <v>98</v>
      </c>
      <c r="K341" s="42">
        <v>50.0</v>
      </c>
      <c r="L341" s="42">
        <v>100.0</v>
      </c>
      <c r="M341" s="42">
        <v>100.0</v>
      </c>
      <c r="N341" s="42">
        <v>100.0</v>
      </c>
      <c r="O341" s="42">
        <v>49.0</v>
      </c>
      <c r="P341" s="42">
        <v>115.0</v>
      </c>
      <c r="Q341" s="253">
        <v>115.0</v>
      </c>
      <c r="R341" s="42"/>
      <c r="S341" s="111"/>
      <c r="T341" s="111"/>
      <c r="U341" s="111"/>
      <c r="V341" s="111"/>
      <c r="W341" s="111"/>
      <c r="X341" s="111"/>
      <c r="Y341" s="111"/>
    </row>
    <row r="342" ht="14.25" customHeight="1">
      <c r="B342" s="39"/>
      <c r="C342" s="340"/>
      <c r="D342" s="5" t="s">
        <v>360</v>
      </c>
      <c r="E342" s="341"/>
      <c r="F342" s="77"/>
      <c r="G342" s="77"/>
      <c r="H342" s="77"/>
      <c r="I342" s="42">
        <v>84.0</v>
      </c>
      <c r="J342" s="110" t="s">
        <v>98</v>
      </c>
      <c r="K342" s="42">
        <v>21.0</v>
      </c>
      <c r="L342" s="42">
        <v>42.0</v>
      </c>
      <c r="M342" s="42">
        <v>63.0</v>
      </c>
      <c r="N342" s="42">
        <v>84.0</v>
      </c>
      <c r="O342" s="42">
        <v>21.0</v>
      </c>
      <c r="P342" s="42">
        <v>42.0</v>
      </c>
      <c r="Q342" s="253">
        <v>63.0</v>
      </c>
      <c r="R342" s="42"/>
      <c r="S342" s="111"/>
      <c r="T342" s="111"/>
      <c r="U342" s="111"/>
      <c r="V342" s="111"/>
      <c r="W342" s="111"/>
      <c r="X342" s="111"/>
      <c r="Y342" s="111"/>
    </row>
    <row r="343" ht="14.25" customHeight="1">
      <c r="B343" s="39"/>
      <c r="C343" s="340"/>
      <c r="D343" s="5" t="s">
        <v>361</v>
      </c>
      <c r="E343" s="341"/>
      <c r="F343" s="77"/>
      <c r="G343" s="77"/>
      <c r="H343" s="77"/>
      <c r="I343" s="42">
        <v>24.0</v>
      </c>
      <c r="J343" s="110" t="s">
        <v>98</v>
      </c>
      <c r="K343" s="42">
        <v>0.0</v>
      </c>
      <c r="L343" s="42">
        <v>8.0</v>
      </c>
      <c r="M343" s="253">
        <v>8.0</v>
      </c>
      <c r="N343" s="253">
        <v>8.0</v>
      </c>
      <c r="O343" s="42">
        <v>0.0</v>
      </c>
      <c r="P343" s="42">
        <v>8.0</v>
      </c>
      <c r="Q343" s="253">
        <v>8.0</v>
      </c>
      <c r="R343" s="42"/>
      <c r="S343" s="111"/>
      <c r="T343" s="111"/>
      <c r="U343" s="111"/>
      <c r="V343" s="111"/>
      <c r="W343" s="111"/>
      <c r="X343" s="111"/>
      <c r="Y343" s="111"/>
    </row>
    <row r="344" ht="14.25" customHeight="1">
      <c r="B344" s="39"/>
      <c r="C344" s="340"/>
      <c r="D344" s="5" t="s">
        <v>362</v>
      </c>
      <c r="E344" s="341"/>
      <c r="F344" s="77"/>
      <c r="G344" s="77"/>
      <c r="H344" s="77"/>
      <c r="I344" s="42">
        <v>1250.0</v>
      </c>
      <c r="J344" s="110" t="s">
        <v>98</v>
      </c>
      <c r="K344" s="42">
        <v>300.0</v>
      </c>
      <c r="L344" s="42">
        <v>600.0</v>
      </c>
      <c r="M344" s="42">
        <v>900.0</v>
      </c>
      <c r="N344" s="42">
        <v>1250.0</v>
      </c>
      <c r="O344" s="42">
        <v>303.0</v>
      </c>
      <c r="P344" s="42">
        <v>652.0</v>
      </c>
      <c r="Q344" s="253">
        <v>1095.0</v>
      </c>
      <c r="R344" s="42"/>
      <c r="S344" s="111"/>
      <c r="T344" s="111"/>
      <c r="U344" s="111"/>
      <c r="V344" s="111"/>
      <c r="W344" s="111"/>
      <c r="X344" s="111"/>
      <c r="Y344" s="111"/>
    </row>
    <row r="345" ht="14.25" customHeight="1">
      <c r="B345" s="39"/>
      <c r="C345" s="340"/>
      <c r="D345" s="5" t="s">
        <v>363</v>
      </c>
      <c r="E345" s="341"/>
      <c r="F345" s="77"/>
      <c r="G345" s="77"/>
      <c r="H345" s="77"/>
      <c r="I345" s="42">
        <v>229.0</v>
      </c>
      <c r="J345" s="110" t="s">
        <v>98</v>
      </c>
      <c r="K345" s="42">
        <v>0.0</v>
      </c>
      <c r="L345" s="42">
        <v>0.0</v>
      </c>
      <c r="M345" s="42">
        <v>150.0</v>
      </c>
      <c r="N345" s="42">
        <v>229.0</v>
      </c>
      <c r="O345" s="42">
        <v>0.0</v>
      </c>
      <c r="P345" s="42">
        <v>0.0</v>
      </c>
      <c r="Q345" s="253">
        <v>42.0</v>
      </c>
      <c r="R345" s="42"/>
      <c r="S345" s="111"/>
      <c r="T345" s="111"/>
      <c r="U345" s="111"/>
      <c r="V345" s="111"/>
      <c r="W345" s="111"/>
      <c r="X345" s="111"/>
      <c r="Y345" s="111"/>
    </row>
    <row r="346" ht="14.25" customHeight="1">
      <c r="B346" s="39"/>
      <c r="C346" s="340"/>
      <c r="D346" s="5" t="s">
        <v>364</v>
      </c>
      <c r="E346" s="341"/>
      <c r="F346" s="77"/>
      <c r="G346" s="77"/>
      <c r="H346" s="77"/>
      <c r="I346" s="42">
        <v>15.0</v>
      </c>
      <c r="J346" s="110" t="s">
        <v>98</v>
      </c>
      <c r="K346" s="42">
        <v>0.0</v>
      </c>
      <c r="L346" s="42">
        <v>0.0</v>
      </c>
      <c r="M346" s="42">
        <v>16.0</v>
      </c>
      <c r="N346" s="42">
        <v>16.0</v>
      </c>
      <c r="O346" s="42">
        <v>0.0</v>
      </c>
      <c r="P346" s="42">
        <v>0.0</v>
      </c>
      <c r="Q346" s="253">
        <v>3.0</v>
      </c>
      <c r="R346" s="42"/>
      <c r="S346" s="111"/>
      <c r="T346" s="111"/>
      <c r="U346" s="111"/>
      <c r="V346" s="111"/>
      <c r="W346" s="111"/>
      <c r="X346" s="111"/>
      <c r="Y346" s="111"/>
    </row>
    <row r="347" ht="14.25" customHeight="1">
      <c r="B347" s="39"/>
      <c r="C347" s="340"/>
      <c r="D347" s="5" t="s">
        <v>365</v>
      </c>
      <c r="E347" s="341"/>
      <c r="F347" s="77"/>
      <c r="G347" s="77"/>
      <c r="H347" s="77"/>
      <c r="I347" s="42">
        <v>49.0</v>
      </c>
      <c r="J347" s="110" t="s">
        <v>98</v>
      </c>
      <c r="K347" s="42">
        <v>0.0</v>
      </c>
      <c r="L347" s="42">
        <v>0.0</v>
      </c>
      <c r="M347" s="42">
        <v>30.0</v>
      </c>
      <c r="N347" s="42">
        <v>40.0</v>
      </c>
      <c r="O347" s="42">
        <v>0.0</v>
      </c>
      <c r="P347" s="42">
        <v>0.0</v>
      </c>
      <c r="Q347" s="253">
        <v>1.0</v>
      </c>
      <c r="R347" s="42"/>
      <c r="S347" s="111"/>
      <c r="T347" s="111"/>
      <c r="U347" s="111"/>
      <c r="V347" s="111"/>
      <c r="W347" s="111"/>
      <c r="X347" s="111"/>
      <c r="Y347" s="111"/>
    </row>
    <row r="348" ht="14.25" customHeight="1">
      <c r="B348" s="39"/>
      <c r="C348" s="340"/>
      <c r="D348" s="5" t="s">
        <v>366</v>
      </c>
      <c r="E348" s="341"/>
      <c r="F348" s="77"/>
      <c r="G348" s="77"/>
      <c r="H348" s="77"/>
      <c r="I348" s="42">
        <v>35.0</v>
      </c>
      <c r="J348" s="110" t="s">
        <v>98</v>
      </c>
      <c r="K348" s="42">
        <v>0.0</v>
      </c>
      <c r="L348" s="42">
        <v>0.0</v>
      </c>
      <c r="M348" s="42">
        <v>35.0</v>
      </c>
      <c r="N348" s="42">
        <v>35.0</v>
      </c>
      <c r="O348" s="42">
        <v>0.0</v>
      </c>
      <c r="P348" s="42">
        <v>0.0</v>
      </c>
      <c r="Q348" s="253">
        <v>35.0</v>
      </c>
      <c r="R348" s="42"/>
      <c r="S348" s="111"/>
      <c r="T348" s="111"/>
      <c r="U348" s="111"/>
      <c r="V348" s="111"/>
      <c r="W348" s="111"/>
      <c r="X348" s="111"/>
      <c r="Y348" s="111"/>
    </row>
    <row r="349" ht="14.25" customHeight="1">
      <c r="B349" s="39"/>
      <c r="C349" s="340"/>
      <c r="D349" s="5" t="s">
        <v>367</v>
      </c>
      <c r="E349" s="341"/>
      <c r="F349" s="77"/>
      <c r="G349" s="77"/>
      <c r="H349" s="77"/>
      <c r="I349" s="42">
        <v>307.0</v>
      </c>
      <c r="J349" s="110" t="s">
        <v>98</v>
      </c>
      <c r="K349" s="42">
        <v>0.0</v>
      </c>
      <c r="L349" s="42">
        <v>0.0</v>
      </c>
      <c r="M349" s="42">
        <v>307.0</v>
      </c>
      <c r="N349" s="42">
        <v>307.0</v>
      </c>
      <c r="O349" s="42">
        <v>0.0</v>
      </c>
      <c r="P349" s="42">
        <v>0.0</v>
      </c>
      <c r="Q349" s="253">
        <v>307.0</v>
      </c>
      <c r="R349" s="42"/>
      <c r="S349" s="111"/>
      <c r="T349" s="111"/>
      <c r="U349" s="111"/>
      <c r="V349" s="111"/>
      <c r="W349" s="111"/>
      <c r="X349" s="111"/>
      <c r="Y349" s="111"/>
    </row>
    <row r="350" ht="14.25" customHeight="1">
      <c r="B350" s="39"/>
      <c r="C350" s="340"/>
      <c r="D350" s="5" t="s">
        <v>368</v>
      </c>
      <c r="E350" s="341"/>
      <c r="F350" s="77"/>
      <c r="G350" s="77"/>
      <c r="H350" s="77"/>
      <c r="I350" s="42">
        <v>153.0</v>
      </c>
      <c r="J350" s="110" t="s">
        <v>98</v>
      </c>
      <c r="K350" s="42">
        <v>0.0</v>
      </c>
      <c r="L350" s="42">
        <v>100.0</v>
      </c>
      <c r="M350" s="42">
        <v>153.0</v>
      </c>
      <c r="N350" s="42">
        <v>153.0</v>
      </c>
      <c r="O350" s="42">
        <v>0.0</v>
      </c>
      <c r="P350" s="42">
        <v>147.0</v>
      </c>
      <c r="Q350" s="253">
        <v>153.0</v>
      </c>
      <c r="R350" s="42"/>
      <c r="S350" s="111"/>
      <c r="T350" s="111"/>
      <c r="U350" s="111"/>
      <c r="V350" s="111"/>
      <c r="W350" s="111"/>
      <c r="X350" s="111"/>
      <c r="Y350" s="111"/>
    </row>
    <row r="351" ht="14.25" customHeight="1">
      <c r="B351" s="39"/>
      <c r="C351" s="340"/>
      <c r="D351" s="342" t="s">
        <v>369</v>
      </c>
      <c r="E351" s="341"/>
      <c r="F351" s="77"/>
      <c r="G351" s="77"/>
      <c r="H351" s="77"/>
      <c r="I351" s="42">
        <v>101.0</v>
      </c>
      <c r="J351" s="110" t="s">
        <v>98</v>
      </c>
      <c r="K351" s="42">
        <v>0.0</v>
      </c>
      <c r="L351" s="42">
        <v>101.0</v>
      </c>
      <c r="M351" s="42">
        <v>101.0</v>
      </c>
      <c r="N351" s="42">
        <v>101.0</v>
      </c>
      <c r="O351" s="42">
        <v>0.0</v>
      </c>
      <c r="P351" s="42">
        <v>101.0</v>
      </c>
      <c r="Q351" s="253">
        <v>101.0</v>
      </c>
      <c r="R351" s="42"/>
      <c r="S351" s="111"/>
      <c r="T351" s="111"/>
      <c r="U351" s="111"/>
      <c r="V351" s="111"/>
      <c r="W351" s="111"/>
      <c r="X351" s="111"/>
      <c r="Y351" s="111"/>
    </row>
    <row r="352" ht="14.25" customHeight="1">
      <c r="B352" s="39"/>
      <c r="C352" s="340"/>
      <c r="D352" s="342" t="s">
        <v>370</v>
      </c>
      <c r="E352" s="341"/>
      <c r="F352" s="77"/>
      <c r="G352" s="77"/>
      <c r="H352" s="77"/>
      <c r="I352" s="42">
        <v>456.0</v>
      </c>
      <c r="J352" s="110" t="s">
        <v>98</v>
      </c>
      <c r="K352" s="42">
        <v>0.0</v>
      </c>
      <c r="L352" s="42">
        <v>300.0</v>
      </c>
      <c r="M352" s="42">
        <v>456.0</v>
      </c>
      <c r="N352" s="42">
        <v>456.0</v>
      </c>
      <c r="O352" s="42">
        <v>0.0</v>
      </c>
      <c r="P352" s="42">
        <v>456.0</v>
      </c>
      <c r="Q352" s="253">
        <v>456.0</v>
      </c>
      <c r="R352" s="42"/>
      <c r="S352" s="111"/>
      <c r="T352" s="111"/>
      <c r="U352" s="111"/>
      <c r="V352" s="111"/>
      <c r="W352" s="111"/>
      <c r="X352" s="111"/>
      <c r="Y352" s="111"/>
    </row>
    <row r="353" ht="14.25" customHeight="1">
      <c r="B353" s="39"/>
      <c r="C353" s="109" t="s">
        <v>371</v>
      </c>
      <c r="D353" s="339"/>
      <c r="E353" s="77"/>
      <c r="F353" s="77"/>
      <c r="G353" s="77"/>
      <c r="H353" s="77"/>
      <c r="I353" s="42">
        <f>SUM(I354:I355)</f>
        <v>26</v>
      </c>
      <c r="J353" s="110" t="s">
        <v>98</v>
      </c>
      <c r="K353" s="42">
        <f t="shared" ref="K353:R353" si="314">SUM(K354:K355)</f>
        <v>11</v>
      </c>
      <c r="L353" s="42">
        <f t="shared" si="314"/>
        <v>16</v>
      </c>
      <c r="M353" s="42">
        <f t="shared" si="314"/>
        <v>16</v>
      </c>
      <c r="N353" s="42">
        <f t="shared" si="314"/>
        <v>16</v>
      </c>
      <c r="O353" s="42">
        <f t="shared" si="314"/>
        <v>14</v>
      </c>
      <c r="P353" s="42">
        <f t="shared" si="314"/>
        <v>14</v>
      </c>
      <c r="Q353" s="42">
        <f t="shared" si="314"/>
        <v>14</v>
      </c>
      <c r="R353" s="42">
        <f t="shared" si="314"/>
        <v>0</v>
      </c>
      <c r="S353" s="111"/>
      <c r="T353" s="111"/>
      <c r="U353" s="111"/>
      <c r="V353" s="111"/>
      <c r="W353" s="111"/>
      <c r="X353" s="111"/>
      <c r="Y353" s="111"/>
    </row>
    <row r="354" ht="14.25" customHeight="1">
      <c r="B354" s="39"/>
      <c r="C354" s="340"/>
      <c r="D354" s="5" t="s">
        <v>372</v>
      </c>
      <c r="E354" s="341"/>
      <c r="F354" s="77"/>
      <c r="G354" s="77"/>
      <c r="H354" s="77"/>
      <c r="I354" s="42">
        <v>15.0</v>
      </c>
      <c r="J354" s="110" t="s">
        <v>98</v>
      </c>
      <c r="K354" s="42">
        <v>0.0</v>
      </c>
      <c r="L354" s="42">
        <v>5.0</v>
      </c>
      <c r="M354" s="42">
        <v>5.0</v>
      </c>
      <c r="N354" s="42">
        <v>5.0</v>
      </c>
      <c r="O354" s="42">
        <v>3.0</v>
      </c>
      <c r="P354" s="42">
        <v>3.0</v>
      </c>
      <c r="Q354" s="253">
        <v>3.0</v>
      </c>
      <c r="R354" s="42"/>
      <c r="S354" s="111"/>
      <c r="T354" s="111"/>
      <c r="U354" s="111"/>
      <c r="V354" s="111"/>
      <c r="W354" s="111"/>
      <c r="X354" s="111"/>
      <c r="Y354" s="111"/>
    </row>
    <row r="355" ht="14.25" customHeight="1">
      <c r="B355" s="39"/>
      <c r="C355" s="340"/>
      <c r="D355" s="5" t="s">
        <v>373</v>
      </c>
      <c r="E355" s="341"/>
      <c r="F355" s="77"/>
      <c r="G355" s="77"/>
      <c r="H355" s="77"/>
      <c r="I355" s="42">
        <v>11.0</v>
      </c>
      <c r="J355" s="110" t="s">
        <v>98</v>
      </c>
      <c r="K355" s="42">
        <v>11.0</v>
      </c>
      <c r="L355" s="42">
        <v>11.0</v>
      </c>
      <c r="M355" s="42">
        <v>11.0</v>
      </c>
      <c r="N355" s="42">
        <v>11.0</v>
      </c>
      <c r="O355" s="42">
        <v>11.0</v>
      </c>
      <c r="P355" s="42">
        <v>11.0</v>
      </c>
      <c r="Q355" s="253">
        <v>11.0</v>
      </c>
      <c r="R355" s="42"/>
      <c r="S355" s="111"/>
      <c r="T355" s="111"/>
      <c r="U355" s="111"/>
      <c r="V355" s="111"/>
      <c r="W355" s="111"/>
      <c r="X355" s="111"/>
      <c r="Y355" s="111"/>
    </row>
    <row r="356" ht="14.25" customHeight="1">
      <c r="B356" s="39" t="s">
        <v>374</v>
      </c>
      <c r="C356" s="39"/>
      <c r="D356" s="77"/>
      <c r="E356" s="77"/>
      <c r="F356" s="77"/>
      <c r="G356" s="77"/>
      <c r="H356" s="77"/>
      <c r="I356" s="159"/>
      <c r="J356" s="103" t="s">
        <v>35</v>
      </c>
      <c r="K356" s="143">
        <v>10.504794134235757</v>
      </c>
      <c r="L356" s="143">
        <v>61.36844331641286</v>
      </c>
      <c r="M356" s="143">
        <v>85.48716864072195</v>
      </c>
      <c r="N356" s="143">
        <v>97.94486745628876</v>
      </c>
      <c r="O356" s="42">
        <v>10.51</v>
      </c>
      <c r="P356" s="42">
        <v>61.89</v>
      </c>
      <c r="Q356" s="253">
        <v>86.0</v>
      </c>
      <c r="R356" s="42">
        <v>0.0</v>
      </c>
      <c r="S356" s="46">
        <f t="shared" ref="S356:U356" si="315">IF(K356=0,0,IF((O356/K356*100)&gt;120,120,O356/K356*100))</f>
        <v>100.049557</v>
      </c>
      <c r="T356" s="46">
        <f t="shared" si="315"/>
        <v>100.8498776</v>
      </c>
      <c r="U356" s="46">
        <f t="shared" si="315"/>
        <v>100.5998928</v>
      </c>
      <c r="V356" s="46">
        <f t="shared" ref="V356:Y356" si="316">IF($N356=0,0,IF((O356/$N356*100)&gt;120,120,O356/$N356*100))</f>
        <v>10.73052654</v>
      </c>
      <c r="W356" s="46">
        <f t="shared" si="316"/>
        <v>63.18860968</v>
      </c>
      <c r="X356" s="46">
        <f t="shared" si="316"/>
        <v>87.80449883</v>
      </c>
      <c r="Y356" s="46">
        <f t="shared" si="316"/>
        <v>0</v>
      </c>
    </row>
    <row r="357" ht="14.25" customHeight="1">
      <c r="B357" s="39"/>
      <c r="C357" s="39"/>
      <c r="D357" s="39"/>
      <c r="E357" s="39"/>
      <c r="F357" s="39"/>
      <c r="G357" s="39"/>
      <c r="H357" s="39"/>
      <c r="I357" s="39"/>
      <c r="J357" s="39"/>
      <c r="K357" s="39"/>
      <c r="L357" s="39"/>
      <c r="M357" s="39"/>
      <c r="N357" s="39"/>
      <c r="O357" s="39"/>
      <c r="P357" s="39"/>
      <c r="Q357" s="39"/>
      <c r="R357" s="39"/>
      <c r="S357" s="39"/>
      <c r="T357" s="39"/>
      <c r="U357" s="39"/>
      <c r="V357" s="39"/>
      <c r="W357" s="39"/>
      <c r="X357" s="39"/>
      <c r="Y357" s="39"/>
    </row>
    <row r="358" ht="14.25" customHeight="1">
      <c r="B358" s="330"/>
      <c r="C358" s="331"/>
      <c r="D358" s="332"/>
      <c r="E358" s="332"/>
      <c r="F358" s="332"/>
      <c r="G358" s="333" t="s">
        <v>375</v>
      </c>
      <c r="H358" s="332"/>
      <c r="I358" s="332"/>
      <c r="J358" s="332"/>
      <c r="K358" s="334"/>
      <c r="L358" s="334"/>
      <c r="M358" s="334"/>
      <c r="N358" s="334"/>
      <c r="O358" s="334"/>
      <c r="P358" s="334"/>
      <c r="Q358" s="334"/>
      <c r="R358" s="334"/>
      <c r="S358" s="335">
        <f t="shared" ref="S358:U358" si="317">IF(SUM(K326:K335,K356)&gt;0,SUM(S326:S335,S356)/SUM(COUNTIF(K326:K335,"&gt;0"),COUNTIF(K356,"&gt;0")),0)</f>
        <v>106.6831857</v>
      </c>
      <c r="T358" s="335">
        <f t="shared" si="317"/>
        <v>101.2443094</v>
      </c>
      <c r="U358" s="335">
        <f t="shared" si="317"/>
        <v>87.03360996</v>
      </c>
      <c r="V358" s="335">
        <f>SUM(V326:V356)/3</f>
        <v>25.45037424</v>
      </c>
      <c r="W358" s="335">
        <f t="shared" ref="W358:X358" si="318">SUM(W326:W356)/8</f>
        <v>43.98082243</v>
      </c>
      <c r="X358" s="335">
        <f t="shared" si="318"/>
        <v>73.01606809</v>
      </c>
      <c r="Y358" s="335">
        <f>SUM(Y326:Y356)/10</f>
        <v>0</v>
      </c>
    </row>
    <row r="359" ht="14.25" customHeight="1">
      <c r="A359" s="5" t="s">
        <v>376</v>
      </c>
    </row>
    <row r="360" ht="14.25" customHeight="1"/>
    <row r="361" ht="14.25" customHeight="1">
      <c r="B361" s="4" t="s">
        <v>377</v>
      </c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6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</row>
    <row r="362" ht="15.75" customHeight="1">
      <c r="B362" s="187" t="s">
        <v>2</v>
      </c>
      <c r="C362" s="8"/>
      <c r="D362" s="8"/>
      <c r="E362" s="8"/>
      <c r="F362" s="8"/>
      <c r="G362" s="8"/>
      <c r="H362" s="8"/>
      <c r="I362" s="343"/>
      <c r="J362" s="189" t="s">
        <v>3</v>
      </c>
      <c r="K362" s="11"/>
      <c r="L362" s="11"/>
      <c r="M362" s="11"/>
      <c r="N362" s="11"/>
      <c r="O362" s="11"/>
      <c r="P362" s="11"/>
      <c r="Q362" s="11"/>
      <c r="R362" s="12"/>
      <c r="S362" s="189" t="s">
        <v>4</v>
      </c>
      <c r="T362" s="11"/>
      <c r="U362" s="11"/>
      <c r="V362" s="11"/>
      <c r="W362" s="11"/>
      <c r="X362" s="11"/>
      <c r="Y362" s="12"/>
    </row>
    <row r="363" ht="14.25" customHeight="1">
      <c r="B363" s="13"/>
      <c r="I363" s="92"/>
      <c r="J363" s="190" t="s">
        <v>5</v>
      </c>
      <c r="K363" s="191" t="s">
        <v>62</v>
      </c>
      <c r="L363" s="17"/>
      <c r="M363" s="17"/>
      <c r="N363" s="18"/>
      <c r="O363" s="191" t="s">
        <v>63</v>
      </c>
      <c r="P363" s="17"/>
      <c r="Q363" s="17"/>
      <c r="R363" s="18"/>
      <c r="S363" s="191" t="s">
        <v>64</v>
      </c>
      <c r="T363" s="17"/>
      <c r="U363" s="18"/>
      <c r="V363" s="191" t="s">
        <v>9</v>
      </c>
      <c r="W363" s="17"/>
      <c r="X363" s="17"/>
      <c r="Y363" s="18"/>
    </row>
    <row r="364" ht="14.25" customHeight="1">
      <c r="B364" s="19"/>
      <c r="C364" s="20"/>
      <c r="D364" s="20"/>
      <c r="E364" s="20"/>
      <c r="F364" s="20"/>
      <c r="G364" s="20"/>
      <c r="H364" s="20"/>
      <c r="I364" s="21"/>
      <c r="J364" s="22"/>
      <c r="K364" s="192" t="s">
        <v>10</v>
      </c>
      <c r="L364" s="192" t="s">
        <v>11</v>
      </c>
      <c r="M364" s="192" t="s">
        <v>12</v>
      </c>
      <c r="N364" s="192" t="s">
        <v>13</v>
      </c>
      <c r="O364" s="192" t="s">
        <v>10</v>
      </c>
      <c r="P364" s="192" t="s">
        <v>11</v>
      </c>
      <c r="Q364" s="192" t="s">
        <v>12</v>
      </c>
      <c r="R364" s="192" t="s">
        <v>13</v>
      </c>
      <c r="S364" s="192" t="s">
        <v>10</v>
      </c>
      <c r="T364" s="192" t="s">
        <v>11</v>
      </c>
      <c r="U364" s="192" t="s">
        <v>12</v>
      </c>
      <c r="V364" s="192" t="s">
        <v>10</v>
      </c>
      <c r="W364" s="192" t="s">
        <v>11</v>
      </c>
      <c r="X364" s="192" t="s">
        <v>12</v>
      </c>
      <c r="Y364" s="192" t="s">
        <v>13</v>
      </c>
    </row>
    <row r="365" ht="14.25" customHeight="1">
      <c r="B365" s="194">
        <v>-1.0</v>
      </c>
      <c r="C365" s="27"/>
      <c r="D365" s="27"/>
      <c r="E365" s="27"/>
      <c r="F365" s="27"/>
      <c r="G365" s="27"/>
      <c r="H365" s="27"/>
      <c r="I365" s="344"/>
      <c r="J365" s="195">
        <v>-2.0</v>
      </c>
      <c r="K365" s="195">
        <v>-3.0</v>
      </c>
      <c r="L365" s="195">
        <v>-4.0</v>
      </c>
      <c r="M365" s="195">
        <v>-5.0</v>
      </c>
      <c r="N365" s="195">
        <v>-6.0</v>
      </c>
      <c r="O365" s="195">
        <v>-7.0</v>
      </c>
      <c r="P365" s="195">
        <v>-8.0</v>
      </c>
      <c r="Q365" s="195">
        <v>-9.0</v>
      </c>
      <c r="R365" s="195">
        <v>-10.0</v>
      </c>
      <c r="S365" s="195">
        <v>-11.0</v>
      </c>
      <c r="T365" s="195">
        <v>-12.0</v>
      </c>
      <c r="U365" s="195">
        <v>-13.0</v>
      </c>
      <c r="V365" s="195">
        <v>-14.0</v>
      </c>
      <c r="W365" s="195">
        <v>-15.0</v>
      </c>
      <c r="X365" s="195">
        <v>-16.0</v>
      </c>
      <c r="Y365" s="195">
        <v>-17.0</v>
      </c>
    </row>
    <row r="366" ht="14.25" customHeight="1">
      <c r="B366" s="35"/>
      <c r="C366" s="35"/>
      <c r="D366" s="35"/>
      <c r="E366" s="35"/>
      <c r="F366" s="35"/>
      <c r="G366" s="35"/>
      <c r="H366" s="35"/>
      <c r="I366" s="35"/>
      <c r="J366" s="35"/>
      <c r="K366" s="35"/>
      <c r="L366" s="35"/>
      <c r="M366" s="35"/>
      <c r="N366" s="35"/>
      <c r="O366" s="35"/>
      <c r="P366" s="35"/>
      <c r="Q366" s="35"/>
      <c r="R366" s="35"/>
      <c r="S366" s="35"/>
      <c r="T366" s="35"/>
      <c r="U366" s="35"/>
      <c r="V366" s="35"/>
      <c r="W366" s="35"/>
      <c r="X366" s="35"/>
      <c r="Y366" s="35"/>
    </row>
    <row r="367" ht="14.25" customHeight="1">
      <c r="B367" s="77" t="s">
        <v>378</v>
      </c>
      <c r="C367" s="77"/>
      <c r="D367" s="77"/>
      <c r="E367" s="77"/>
      <c r="F367" s="77"/>
      <c r="G367" s="77"/>
      <c r="H367" s="77"/>
      <c r="I367" s="345">
        <v>2.0</v>
      </c>
      <c r="J367" s="103" t="s">
        <v>85</v>
      </c>
      <c r="K367" s="346">
        <v>0.0</v>
      </c>
      <c r="L367" s="39">
        <f t="shared" ref="L367:R367" si="319">SUM(L368:L369)</f>
        <v>1</v>
      </c>
      <c r="M367" s="60">
        <f t="shared" si="319"/>
        <v>1</v>
      </c>
      <c r="N367" s="347">
        <f t="shared" si="319"/>
        <v>2</v>
      </c>
      <c r="O367" s="62">
        <f t="shared" si="319"/>
        <v>0</v>
      </c>
      <c r="P367" s="39">
        <f t="shared" si="319"/>
        <v>1</v>
      </c>
      <c r="Q367" s="39">
        <f t="shared" si="319"/>
        <v>1</v>
      </c>
      <c r="R367" s="39">
        <f t="shared" si="319"/>
        <v>2</v>
      </c>
      <c r="S367" s="46">
        <f t="shared" ref="S367:U367" si="320">IF(K367=0,0,IF((O367/K367*100)&gt;120,120,O367/K367*100))</f>
        <v>0</v>
      </c>
      <c r="T367" s="46">
        <f t="shared" si="320"/>
        <v>100</v>
      </c>
      <c r="U367" s="46">
        <f t="shared" si="320"/>
        <v>100</v>
      </c>
      <c r="V367" s="46">
        <f t="shared" ref="V367:Y367" si="321">IF($N367=0,0,IF((O367/$N367*100)&gt;120,120,O367/$N367*100))</f>
        <v>0</v>
      </c>
      <c r="W367" s="46">
        <f t="shared" si="321"/>
        <v>50</v>
      </c>
      <c r="X367" s="46">
        <f t="shared" si="321"/>
        <v>50</v>
      </c>
      <c r="Y367" s="46">
        <f t="shared" si="321"/>
        <v>100</v>
      </c>
    </row>
    <row r="368" ht="14.25" customHeight="1">
      <c r="B368" s="77"/>
      <c r="C368" s="77" t="s">
        <v>379</v>
      </c>
      <c r="D368" s="77"/>
      <c r="E368" s="77"/>
      <c r="F368" s="77"/>
      <c r="G368" s="77"/>
      <c r="H368" s="77"/>
      <c r="I368" s="345">
        <v>2.0</v>
      </c>
      <c r="J368" s="110" t="s">
        <v>87</v>
      </c>
      <c r="K368" s="310">
        <v>0.0</v>
      </c>
      <c r="L368" s="42">
        <v>1.0</v>
      </c>
      <c r="M368" s="42">
        <v>1.0</v>
      </c>
      <c r="N368" s="42">
        <v>2.0</v>
      </c>
      <c r="O368" s="42">
        <v>0.0</v>
      </c>
      <c r="P368" s="42">
        <v>1.0</v>
      </c>
      <c r="Q368" s="42">
        <v>1.0</v>
      </c>
      <c r="R368" s="42">
        <v>2.0</v>
      </c>
      <c r="S368" s="46">
        <f t="shared" ref="S368:U368" si="322">IF(K368=0,0,IF((O368/K368*100)&gt;120,120,O368/K368*100))</f>
        <v>0</v>
      </c>
      <c r="T368" s="46">
        <f t="shared" si="322"/>
        <v>100</v>
      </c>
      <c r="U368" s="46">
        <f t="shared" si="322"/>
        <v>100</v>
      </c>
      <c r="V368" s="46">
        <f t="shared" ref="V368:Y368" si="323">IF($N368=0,0,IF((O368/$N368*100)&gt;120,120,O368/$N368*100))</f>
        <v>0</v>
      </c>
      <c r="W368" s="46">
        <f t="shared" si="323"/>
        <v>50</v>
      </c>
      <c r="X368" s="46">
        <f t="shared" si="323"/>
        <v>50</v>
      </c>
      <c r="Y368" s="46">
        <f t="shared" si="323"/>
        <v>100</v>
      </c>
    </row>
    <row r="369" ht="14.25" customHeight="1">
      <c r="B369" s="77"/>
      <c r="C369" s="77" t="s">
        <v>380</v>
      </c>
      <c r="D369" s="77"/>
      <c r="E369" s="77"/>
      <c r="F369" s="77"/>
      <c r="G369" s="77"/>
      <c r="H369" s="77"/>
      <c r="I369" s="345">
        <v>0.0</v>
      </c>
      <c r="J369" s="110" t="s">
        <v>66</v>
      </c>
      <c r="K369" s="310">
        <v>0.0</v>
      </c>
      <c r="L369" s="310">
        <v>0.0</v>
      </c>
      <c r="M369" s="310">
        <v>0.0</v>
      </c>
      <c r="N369" s="310">
        <v>0.0</v>
      </c>
      <c r="O369" s="42">
        <v>0.0</v>
      </c>
      <c r="P369" s="42">
        <v>0.0</v>
      </c>
      <c r="Q369" s="42">
        <v>0.0</v>
      </c>
      <c r="R369" s="42">
        <v>0.0</v>
      </c>
      <c r="S369" s="46">
        <f t="shared" ref="S369:U369" si="324">IF(K369=0,0,IF((O369/K369*100)&gt;120,120,O369/K369*100))</f>
        <v>0</v>
      </c>
      <c r="T369" s="46">
        <f t="shared" si="324"/>
        <v>0</v>
      </c>
      <c r="U369" s="46">
        <f t="shared" si="324"/>
        <v>0</v>
      </c>
      <c r="V369" s="46">
        <f t="shared" ref="V369:Y369" si="325">IF($N369=0,0,IF((O369/$N369*100)&gt;120,120,O369/$N369*100))</f>
        <v>0</v>
      </c>
      <c r="W369" s="46">
        <f t="shared" si="325"/>
        <v>0</v>
      </c>
      <c r="X369" s="46">
        <f t="shared" si="325"/>
        <v>0</v>
      </c>
      <c r="Y369" s="46">
        <f t="shared" si="325"/>
        <v>0</v>
      </c>
    </row>
    <row r="370" ht="14.25" customHeight="1">
      <c r="B370" s="77" t="s">
        <v>381</v>
      </c>
      <c r="C370" s="77"/>
      <c r="D370" s="77"/>
      <c r="E370" s="77"/>
      <c r="F370" s="77"/>
      <c r="G370" s="77"/>
      <c r="H370" s="77"/>
      <c r="I370" s="345"/>
      <c r="J370" s="103" t="s">
        <v>85</v>
      </c>
      <c r="K370" s="346">
        <v>0.0</v>
      </c>
      <c r="L370" s="39">
        <f t="shared" ref="L370:R370" si="326">SUM(L371:L372)</f>
        <v>1</v>
      </c>
      <c r="M370" s="60">
        <f t="shared" si="326"/>
        <v>1</v>
      </c>
      <c r="N370" s="347">
        <f t="shared" si="326"/>
        <v>1</v>
      </c>
      <c r="O370" s="62">
        <f t="shared" si="326"/>
        <v>0</v>
      </c>
      <c r="P370" s="39">
        <f t="shared" si="326"/>
        <v>1</v>
      </c>
      <c r="Q370" s="39">
        <f t="shared" si="326"/>
        <v>1</v>
      </c>
      <c r="R370" s="39">
        <f t="shared" si="326"/>
        <v>1</v>
      </c>
      <c r="S370" s="46">
        <f t="shared" ref="S370:U370" si="327">IF(K370=0,0,IF((O370/K370*100)&gt;120,120,O370/K370*100))</f>
        <v>0</v>
      </c>
      <c r="T370" s="46">
        <f t="shared" si="327"/>
        <v>100</v>
      </c>
      <c r="U370" s="46">
        <f t="shared" si="327"/>
        <v>100</v>
      </c>
      <c r="V370" s="46">
        <f t="shared" ref="V370:Y370" si="328">IF($N370=0,0,IF((O370/$N370*100)&gt;120,120,O370/$N370*100))</f>
        <v>0</v>
      </c>
      <c r="W370" s="46">
        <f t="shared" si="328"/>
        <v>100</v>
      </c>
      <c r="X370" s="46">
        <f t="shared" si="328"/>
        <v>100</v>
      </c>
      <c r="Y370" s="46">
        <f t="shared" si="328"/>
        <v>100</v>
      </c>
    </row>
    <row r="371" ht="14.25" customHeight="1">
      <c r="B371" s="77"/>
      <c r="C371" s="77" t="s">
        <v>382</v>
      </c>
      <c r="D371" s="77"/>
      <c r="E371" s="77"/>
      <c r="F371" s="77"/>
      <c r="G371" s="77"/>
      <c r="H371" s="77"/>
      <c r="I371" s="345">
        <v>1.0</v>
      </c>
      <c r="J371" s="110" t="s">
        <v>87</v>
      </c>
      <c r="K371" s="310">
        <v>0.0</v>
      </c>
      <c r="L371" s="42">
        <v>1.0</v>
      </c>
      <c r="M371" s="42">
        <v>1.0</v>
      </c>
      <c r="N371" s="42">
        <v>1.0</v>
      </c>
      <c r="O371" s="42">
        <v>0.0</v>
      </c>
      <c r="P371" s="42">
        <v>1.0</v>
      </c>
      <c r="Q371" s="42">
        <v>1.0</v>
      </c>
      <c r="R371" s="42">
        <v>1.0</v>
      </c>
      <c r="S371" s="46">
        <f t="shared" ref="S371:U371" si="329">IF(K371=0,0,IF((O371/K371*100)&gt;120,120,O371/K371*100))</f>
        <v>0</v>
      </c>
      <c r="T371" s="46">
        <f t="shared" si="329"/>
        <v>100</v>
      </c>
      <c r="U371" s="46">
        <f t="shared" si="329"/>
        <v>100</v>
      </c>
      <c r="V371" s="46">
        <f t="shared" ref="V371:Y371" si="330">IF($N371=0,0,IF((O371/$N371*100)&gt;120,120,O371/$N371*100))</f>
        <v>0</v>
      </c>
      <c r="W371" s="46">
        <f t="shared" si="330"/>
        <v>100</v>
      </c>
      <c r="X371" s="46">
        <f t="shared" si="330"/>
        <v>100</v>
      </c>
      <c r="Y371" s="46">
        <f t="shared" si="330"/>
        <v>100</v>
      </c>
    </row>
    <row r="372" ht="14.25" customHeight="1">
      <c r="B372" s="77"/>
      <c r="C372" s="77" t="s">
        <v>383</v>
      </c>
      <c r="D372" s="77"/>
      <c r="E372" s="77"/>
      <c r="F372" s="77"/>
      <c r="G372" s="77"/>
      <c r="H372" s="77"/>
      <c r="I372" s="345">
        <v>0.0</v>
      </c>
      <c r="J372" s="110" t="s">
        <v>66</v>
      </c>
      <c r="K372" s="310">
        <v>0.0</v>
      </c>
      <c r="L372" s="310">
        <v>0.0</v>
      </c>
      <c r="M372" s="310">
        <v>0.0</v>
      </c>
      <c r="N372" s="310">
        <v>0.0</v>
      </c>
      <c r="O372" s="42">
        <v>0.0</v>
      </c>
      <c r="P372" s="42">
        <v>0.0</v>
      </c>
      <c r="Q372" s="42">
        <v>0.0</v>
      </c>
      <c r="R372" s="42">
        <v>0.0</v>
      </c>
      <c r="S372" s="46">
        <f t="shared" ref="S372:U372" si="331">IF(K372=0,0,IF((O372/K372*100)&gt;120,120,O372/K372*100))</f>
        <v>0</v>
      </c>
      <c r="T372" s="46">
        <f t="shared" si="331"/>
        <v>0</v>
      </c>
      <c r="U372" s="46">
        <f t="shared" si="331"/>
        <v>0</v>
      </c>
      <c r="V372" s="46">
        <f t="shared" ref="V372:Y372" si="332">IF($N372=0,0,IF((O372/$N372*100)&gt;120,120,O372/$N372*100))</f>
        <v>0</v>
      </c>
      <c r="W372" s="46">
        <f t="shared" si="332"/>
        <v>0</v>
      </c>
      <c r="X372" s="46">
        <f t="shared" si="332"/>
        <v>0</v>
      </c>
      <c r="Y372" s="46">
        <f t="shared" si="332"/>
        <v>0</v>
      </c>
    </row>
    <row r="373" ht="14.25" customHeight="1">
      <c r="B373" s="77" t="s">
        <v>384</v>
      </c>
      <c r="C373" s="77"/>
      <c r="D373" s="77"/>
      <c r="E373" s="77"/>
      <c r="F373" s="77"/>
      <c r="G373" s="77"/>
      <c r="H373" s="77"/>
      <c r="I373" s="345">
        <v>0.0</v>
      </c>
      <c r="J373" s="103" t="s">
        <v>87</v>
      </c>
      <c r="K373" s="310">
        <v>0.0</v>
      </c>
      <c r="L373" s="310">
        <v>0.0</v>
      </c>
      <c r="M373" s="310">
        <v>0.0</v>
      </c>
      <c r="N373" s="310">
        <v>0.0</v>
      </c>
      <c r="O373" s="42">
        <v>0.0</v>
      </c>
      <c r="P373" s="42">
        <v>0.0</v>
      </c>
      <c r="Q373" s="42">
        <v>0.0</v>
      </c>
      <c r="R373" s="42">
        <v>0.0</v>
      </c>
      <c r="S373" s="46">
        <f t="shared" ref="S373:U373" si="333">IF(K373=0,0,IF((O373/K373*100)&gt;120,120,O373/K373*100))</f>
        <v>0</v>
      </c>
      <c r="T373" s="46">
        <f t="shared" si="333"/>
        <v>0</v>
      </c>
      <c r="U373" s="46">
        <f t="shared" si="333"/>
        <v>0</v>
      </c>
      <c r="V373" s="46">
        <f t="shared" ref="V373:Y373" si="334">IF($N373=0,0,IF((O373/$N373*100)&gt;120,120,O373/$N373*100))</f>
        <v>0</v>
      </c>
      <c r="W373" s="46">
        <f t="shared" si="334"/>
        <v>0</v>
      </c>
      <c r="X373" s="46">
        <f t="shared" si="334"/>
        <v>0</v>
      </c>
      <c r="Y373" s="46">
        <f t="shared" si="334"/>
        <v>0</v>
      </c>
    </row>
    <row r="374" ht="14.25" customHeight="1">
      <c r="B374" s="77" t="s">
        <v>385</v>
      </c>
      <c r="C374" s="77"/>
      <c r="D374" s="77"/>
      <c r="E374" s="77"/>
      <c r="F374" s="77"/>
      <c r="G374" s="77"/>
      <c r="H374" s="77"/>
      <c r="I374" s="345">
        <v>4.0</v>
      </c>
      <c r="J374" s="103" t="s">
        <v>95</v>
      </c>
      <c r="K374" s="348">
        <v>1.0</v>
      </c>
      <c r="L374" s="135">
        <v>2.0</v>
      </c>
      <c r="M374" s="135">
        <v>3.0</v>
      </c>
      <c r="N374" s="135">
        <v>4.0</v>
      </c>
      <c r="O374" s="135">
        <v>1.0</v>
      </c>
      <c r="P374" s="135">
        <v>2.0</v>
      </c>
      <c r="Q374" s="135">
        <v>3.0</v>
      </c>
      <c r="R374" s="135">
        <v>4.0</v>
      </c>
      <c r="S374" s="46">
        <f t="shared" ref="S374:U374" si="335">IF(K374=0,0,IF((O374/K374*100)&gt;120,120,O374/K374*100))</f>
        <v>100</v>
      </c>
      <c r="T374" s="46">
        <f t="shared" si="335"/>
        <v>100</v>
      </c>
      <c r="U374" s="46">
        <f t="shared" si="335"/>
        <v>100</v>
      </c>
      <c r="V374" s="46">
        <f t="shared" ref="V374:Y374" si="336">IF($N374=0,0,IF((O374/$N374*100)&gt;120,120,O374/$N374*100))</f>
        <v>25</v>
      </c>
      <c r="W374" s="46">
        <f t="shared" si="336"/>
        <v>50</v>
      </c>
      <c r="X374" s="46">
        <f t="shared" si="336"/>
        <v>75</v>
      </c>
      <c r="Y374" s="46">
        <f t="shared" si="336"/>
        <v>100</v>
      </c>
    </row>
    <row r="375" ht="14.25" customHeight="1">
      <c r="B375" s="77" t="s">
        <v>386</v>
      </c>
      <c r="C375" s="77"/>
      <c r="D375" s="77"/>
      <c r="E375" s="77"/>
      <c r="F375" s="77"/>
      <c r="G375" s="77"/>
      <c r="H375" s="77"/>
      <c r="I375" s="345"/>
      <c r="J375" s="103" t="s">
        <v>35</v>
      </c>
      <c r="K375" s="254">
        <f t="shared" ref="K375:N375" si="337">(SUM(K382,K388)/SUM($I382,$I388)*100)</f>
        <v>15.88170865</v>
      </c>
      <c r="L375" s="254">
        <f t="shared" si="337"/>
        <v>31.87294633</v>
      </c>
      <c r="M375" s="254">
        <f t="shared" si="337"/>
        <v>59.5837897</v>
      </c>
      <c r="N375" s="254">
        <f t="shared" si="337"/>
        <v>95.83789704</v>
      </c>
      <c r="O375" s="338">
        <f t="shared" ref="O375:Q375" si="338">IF($I376+$I382+$I388=0,0,AVERAGE(IF($I382&gt;0,O382/$I382*100,0),IF($I388&gt;0,O388/$I388*100,0)))</f>
        <v>19.55081888</v>
      </c>
      <c r="P375" s="338">
        <f t="shared" si="338"/>
        <v>39.10163776</v>
      </c>
      <c r="Q375" s="338">
        <f t="shared" si="338"/>
        <v>65.01083815</v>
      </c>
      <c r="R375" s="338">
        <f>IF($I382+$I388=0,0,AVERAGE(IF($I382&gt;0,R382/$I382*100,0),IF($I388&gt;0,R388/$I388*100,0)))</f>
        <v>109.3593449</v>
      </c>
      <c r="S375" s="46">
        <f t="shared" ref="S375:U375" si="339">IF(K375=0,0,IF((O375/K375*100)&gt;120,120,O375/K375*100))</f>
        <v>120</v>
      </c>
      <c r="T375" s="46">
        <f t="shared" si="339"/>
        <v>120</v>
      </c>
      <c r="U375" s="46">
        <f t="shared" si="339"/>
        <v>109.1082633</v>
      </c>
      <c r="V375" s="46">
        <f t="shared" ref="V375:Y375" si="340">IF($N375=0,0,IF((O375/$N375*100)&gt;120,120,O375/$N375*100))</f>
        <v>20.39988302</v>
      </c>
      <c r="W375" s="46">
        <f t="shared" si="340"/>
        <v>40.79976603</v>
      </c>
      <c r="X375" s="46">
        <f t="shared" si="340"/>
        <v>67.83416598</v>
      </c>
      <c r="Y375" s="46">
        <f t="shared" si="340"/>
        <v>114.108665</v>
      </c>
    </row>
    <row r="376" ht="14.25" customHeight="1">
      <c r="B376" s="77"/>
      <c r="C376" s="77" t="s">
        <v>387</v>
      </c>
      <c r="D376" s="77"/>
      <c r="E376" s="77"/>
      <c r="F376" s="77"/>
      <c r="G376" s="77"/>
      <c r="H376" s="77"/>
      <c r="I376" s="42"/>
      <c r="J376" s="110" t="s">
        <v>98</v>
      </c>
      <c r="K376" s="310">
        <v>0.0</v>
      </c>
      <c r="L376" s="42">
        <f t="shared" ref="L376:R376" si="341">SUM(L377:L381)</f>
        <v>0</v>
      </c>
      <c r="M376" s="42">
        <f t="shared" si="341"/>
        <v>0</v>
      </c>
      <c r="N376" s="42">
        <f t="shared" si="341"/>
        <v>0</v>
      </c>
      <c r="O376" s="42">
        <f t="shared" si="341"/>
        <v>0</v>
      </c>
      <c r="P376" s="42">
        <f t="shared" si="341"/>
        <v>0</v>
      </c>
      <c r="Q376" s="42">
        <f t="shared" si="341"/>
        <v>0</v>
      </c>
      <c r="R376" s="42">
        <f t="shared" si="341"/>
        <v>0</v>
      </c>
      <c r="S376" s="111"/>
      <c r="T376" s="111"/>
      <c r="U376" s="111"/>
      <c r="V376" s="111"/>
      <c r="W376" s="111"/>
      <c r="X376" s="111"/>
      <c r="Y376" s="111"/>
    </row>
    <row r="377" ht="14.25" customHeight="1">
      <c r="B377" s="39"/>
      <c r="C377" s="109"/>
      <c r="D377" s="77" t="s">
        <v>246</v>
      </c>
      <c r="E377" s="77"/>
      <c r="F377" s="77"/>
      <c r="G377" s="77"/>
      <c r="H377" s="77"/>
      <c r="I377" s="310"/>
      <c r="J377" s="110" t="s">
        <v>98</v>
      </c>
      <c r="K377" s="310">
        <v>0.0</v>
      </c>
      <c r="L377" s="310">
        <v>0.0</v>
      </c>
      <c r="M377" s="310">
        <v>0.0</v>
      </c>
      <c r="N377" s="310">
        <v>0.0</v>
      </c>
      <c r="O377" s="310">
        <v>0.0</v>
      </c>
      <c r="P377" s="42">
        <v>0.0</v>
      </c>
      <c r="Q377" s="42">
        <v>0.0</v>
      </c>
      <c r="R377" s="42"/>
      <c r="S377" s="111"/>
      <c r="T377" s="111"/>
      <c r="U377" s="111"/>
      <c r="V377" s="111"/>
      <c r="W377" s="111"/>
      <c r="X377" s="111"/>
      <c r="Y377" s="111"/>
    </row>
    <row r="378" ht="14.25" customHeight="1">
      <c r="B378" s="39"/>
      <c r="C378" s="109"/>
      <c r="D378" s="77" t="s">
        <v>246</v>
      </c>
      <c r="E378" s="77"/>
      <c r="F378" s="77"/>
      <c r="G378" s="77"/>
      <c r="H378" s="77"/>
      <c r="I378" s="310"/>
      <c r="J378" s="110" t="s">
        <v>98</v>
      </c>
      <c r="K378" s="310">
        <v>0.0</v>
      </c>
      <c r="L378" s="310">
        <v>0.0</v>
      </c>
      <c r="M378" s="310">
        <v>0.0</v>
      </c>
      <c r="N378" s="310">
        <v>0.0</v>
      </c>
      <c r="O378" s="310">
        <v>0.0</v>
      </c>
      <c r="P378" s="42">
        <v>0.0</v>
      </c>
      <c r="Q378" s="42">
        <v>0.0</v>
      </c>
      <c r="R378" s="42"/>
      <c r="S378" s="111"/>
      <c r="T378" s="111"/>
      <c r="U378" s="111"/>
      <c r="V378" s="111"/>
      <c r="W378" s="111"/>
      <c r="X378" s="111"/>
      <c r="Y378" s="111"/>
    </row>
    <row r="379" ht="14.25" customHeight="1">
      <c r="B379" s="39"/>
      <c r="C379" s="109"/>
      <c r="D379" s="77" t="s">
        <v>246</v>
      </c>
      <c r="E379" s="77"/>
      <c r="F379" s="77"/>
      <c r="G379" s="77"/>
      <c r="H379" s="77"/>
      <c r="I379" s="310"/>
      <c r="J379" s="110" t="s">
        <v>98</v>
      </c>
      <c r="K379" s="310">
        <v>0.0</v>
      </c>
      <c r="L379" s="310">
        <v>0.0</v>
      </c>
      <c r="M379" s="310">
        <v>0.0</v>
      </c>
      <c r="N379" s="310">
        <v>0.0</v>
      </c>
      <c r="O379" s="310">
        <v>0.0</v>
      </c>
      <c r="P379" s="42">
        <v>0.0</v>
      </c>
      <c r="Q379" s="42">
        <v>0.0</v>
      </c>
      <c r="R379" s="42"/>
      <c r="S379" s="111"/>
      <c r="T379" s="111"/>
      <c r="U379" s="111"/>
      <c r="V379" s="111"/>
      <c r="W379" s="111"/>
      <c r="X379" s="111"/>
      <c r="Y379" s="111"/>
    </row>
    <row r="380" ht="14.25" customHeight="1">
      <c r="B380" s="39"/>
      <c r="C380" s="109"/>
      <c r="D380" s="77" t="s">
        <v>246</v>
      </c>
      <c r="E380" s="77"/>
      <c r="F380" s="77"/>
      <c r="G380" s="77"/>
      <c r="H380" s="77"/>
      <c r="I380" s="310"/>
      <c r="J380" s="110" t="s">
        <v>98</v>
      </c>
      <c r="K380" s="310">
        <v>0.0</v>
      </c>
      <c r="L380" s="310">
        <v>0.0</v>
      </c>
      <c r="M380" s="310">
        <v>0.0</v>
      </c>
      <c r="N380" s="310">
        <v>0.0</v>
      </c>
      <c r="O380" s="310">
        <v>0.0</v>
      </c>
      <c r="P380" s="42">
        <v>0.0</v>
      </c>
      <c r="Q380" s="42">
        <v>0.0</v>
      </c>
      <c r="R380" s="42"/>
      <c r="S380" s="111"/>
      <c r="T380" s="111"/>
      <c r="U380" s="111"/>
      <c r="V380" s="111"/>
      <c r="W380" s="111"/>
      <c r="X380" s="111"/>
      <c r="Y380" s="111"/>
    </row>
    <row r="381" ht="14.25" customHeight="1">
      <c r="B381" s="39"/>
      <c r="C381" s="109"/>
      <c r="D381" s="77" t="s">
        <v>246</v>
      </c>
      <c r="E381" s="77"/>
      <c r="F381" s="77"/>
      <c r="G381" s="77"/>
      <c r="H381" s="77"/>
      <c r="I381" s="310"/>
      <c r="J381" s="110" t="s">
        <v>98</v>
      </c>
      <c r="K381" s="310">
        <v>0.0</v>
      </c>
      <c r="L381" s="310">
        <v>0.0</v>
      </c>
      <c r="M381" s="310">
        <v>0.0</v>
      </c>
      <c r="N381" s="310">
        <v>0.0</v>
      </c>
      <c r="O381" s="310">
        <v>0.0</v>
      </c>
      <c r="P381" s="42">
        <v>0.0</v>
      </c>
      <c r="Q381" s="42">
        <v>0.0</v>
      </c>
      <c r="R381" s="42"/>
      <c r="S381" s="111"/>
      <c r="T381" s="111"/>
      <c r="U381" s="111"/>
      <c r="V381" s="111"/>
      <c r="W381" s="111"/>
      <c r="X381" s="111"/>
      <c r="Y381" s="111"/>
    </row>
    <row r="382" ht="14.25" customHeight="1">
      <c r="B382" s="77"/>
      <c r="C382" s="77" t="s">
        <v>388</v>
      </c>
      <c r="D382" s="77"/>
      <c r="E382" s="77"/>
      <c r="F382" s="77"/>
      <c r="G382" s="77"/>
      <c r="H382" s="77"/>
      <c r="I382" s="42">
        <f>SUM(I383:I387)</f>
        <v>865</v>
      </c>
      <c r="J382" s="110" t="s">
        <v>98</v>
      </c>
      <c r="K382" s="42">
        <f t="shared" ref="K382:R382" si="342">SUM(K383:K387)</f>
        <v>135</v>
      </c>
      <c r="L382" s="42">
        <f t="shared" si="342"/>
        <v>271</v>
      </c>
      <c r="M382" s="42">
        <f t="shared" si="342"/>
        <v>512</v>
      </c>
      <c r="N382" s="42">
        <f t="shared" si="342"/>
        <v>831</v>
      </c>
      <c r="O382" s="42">
        <f t="shared" si="342"/>
        <v>140</v>
      </c>
      <c r="P382" s="42">
        <f t="shared" si="342"/>
        <v>280</v>
      </c>
      <c r="Q382" s="42">
        <f t="shared" si="342"/>
        <v>530</v>
      </c>
      <c r="R382" s="42">
        <f t="shared" si="342"/>
        <v>1099</v>
      </c>
      <c r="S382" s="111"/>
      <c r="T382" s="111"/>
      <c r="U382" s="111"/>
      <c r="V382" s="111"/>
      <c r="W382" s="111"/>
      <c r="X382" s="111"/>
      <c r="Y382" s="111"/>
    </row>
    <row r="383" ht="14.25" customHeight="1">
      <c r="B383" s="39"/>
      <c r="C383" s="109"/>
      <c r="D383" s="309" t="s">
        <v>389</v>
      </c>
      <c r="E383" s="77"/>
      <c r="F383" s="77"/>
      <c r="G383" s="77"/>
      <c r="H383" s="77"/>
      <c r="I383" s="310">
        <v>160.0</v>
      </c>
      <c r="J383" s="110" t="s">
        <v>98</v>
      </c>
      <c r="K383" s="310">
        <v>38.0</v>
      </c>
      <c r="L383" s="42">
        <v>76.0</v>
      </c>
      <c r="M383" s="42">
        <v>114.0</v>
      </c>
      <c r="N383" s="42">
        <v>155.0</v>
      </c>
      <c r="O383" s="310">
        <v>40.0</v>
      </c>
      <c r="P383" s="42">
        <v>80.0</v>
      </c>
      <c r="Q383" s="42">
        <v>120.0</v>
      </c>
      <c r="R383" s="42">
        <v>263.0</v>
      </c>
      <c r="S383" s="111"/>
      <c r="T383" s="111"/>
      <c r="U383" s="111"/>
      <c r="V383" s="111"/>
      <c r="W383" s="111"/>
      <c r="X383" s="111"/>
      <c r="Y383" s="111"/>
    </row>
    <row r="384" ht="14.25" customHeight="1">
      <c r="B384" s="39"/>
      <c r="C384" s="109"/>
      <c r="D384" s="309" t="s">
        <v>390</v>
      </c>
      <c r="E384" s="77"/>
      <c r="F384" s="77"/>
      <c r="G384" s="77"/>
      <c r="H384" s="77"/>
      <c r="I384" s="310">
        <v>400.0</v>
      </c>
      <c r="J384" s="110" t="s">
        <v>98</v>
      </c>
      <c r="K384" s="310">
        <v>97.0</v>
      </c>
      <c r="L384" s="42">
        <v>195.0</v>
      </c>
      <c r="M384" s="42">
        <v>293.0</v>
      </c>
      <c r="N384" s="42">
        <v>390.0</v>
      </c>
      <c r="O384" s="310">
        <v>100.0</v>
      </c>
      <c r="P384" s="42">
        <v>200.0</v>
      </c>
      <c r="Q384" s="42">
        <v>300.0</v>
      </c>
      <c r="R384" s="42">
        <v>450.0</v>
      </c>
      <c r="S384" s="111"/>
      <c r="T384" s="111"/>
      <c r="U384" s="111"/>
      <c r="V384" s="111"/>
      <c r="W384" s="111"/>
      <c r="X384" s="111"/>
      <c r="Y384" s="111"/>
    </row>
    <row r="385" ht="14.25" customHeight="1">
      <c r="B385" s="39"/>
      <c r="C385" s="109"/>
      <c r="D385" s="309" t="s">
        <v>391</v>
      </c>
      <c r="E385" s="77"/>
      <c r="F385" s="77"/>
      <c r="G385" s="77"/>
      <c r="H385" s="77"/>
      <c r="I385" s="310">
        <v>75.0</v>
      </c>
      <c r="J385" s="110" t="s">
        <v>98</v>
      </c>
      <c r="K385" s="310">
        <v>0.0</v>
      </c>
      <c r="L385" s="42">
        <v>0.0</v>
      </c>
      <c r="M385" s="42">
        <v>25.0</v>
      </c>
      <c r="N385" s="42">
        <v>68.0</v>
      </c>
      <c r="O385" s="310">
        <v>0.0</v>
      </c>
      <c r="P385" s="42">
        <v>0.0</v>
      </c>
      <c r="Q385" s="42">
        <v>26.0</v>
      </c>
      <c r="R385" s="42">
        <v>90.0</v>
      </c>
      <c r="S385" s="111"/>
      <c r="T385" s="111"/>
      <c r="U385" s="111"/>
      <c r="V385" s="111"/>
      <c r="W385" s="111"/>
      <c r="X385" s="111"/>
      <c r="Y385" s="111"/>
    </row>
    <row r="386" ht="14.25" customHeight="1">
      <c r="B386" s="39"/>
      <c r="C386" s="109"/>
      <c r="D386" s="309" t="s">
        <v>392</v>
      </c>
      <c r="E386" s="77"/>
      <c r="F386" s="77"/>
      <c r="G386" s="77"/>
      <c r="H386" s="77"/>
      <c r="I386" s="310">
        <v>50.0</v>
      </c>
      <c r="J386" s="110" t="s">
        <v>98</v>
      </c>
      <c r="K386" s="310">
        <v>0.0</v>
      </c>
      <c r="L386" s="42">
        <v>0.0</v>
      </c>
      <c r="M386" s="42">
        <v>20.0</v>
      </c>
      <c r="N386" s="42">
        <v>45.0</v>
      </c>
      <c r="O386" s="310">
        <v>0.0</v>
      </c>
      <c r="P386" s="42">
        <v>0.0</v>
      </c>
      <c r="Q386" s="42">
        <v>22.0</v>
      </c>
      <c r="R386" s="42">
        <v>69.0</v>
      </c>
      <c r="S386" s="111"/>
      <c r="T386" s="111"/>
      <c r="U386" s="111"/>
      <c r="V386" s="111"/>
      <c r="W386" s="111"/>
      <c r="X386" s="111"/>
      <c r="Y386" s="111"/>
    </row>
    <row r="387" ht="14.25" customHeight="1">
      <c r="B387" s="39"/>
      <c r="C387" s="109"/>
      <c r="D387" s="309" t="s">
        <v>393</v>
      </c>
      <c r="E387" s="77"/>
      <c r="F387" s="77"/>
      <c r="G387" s="77"/>
      <c r="H387" s="77"/>
      <c r="I387" s="310">
        <v>180.0</v>
      </c>
      <c r="J387" s="110" t="s">
        <v>98</v>
      </c>
      <c r="K387" s="310">
        <v>0.0</v>
      </c>
      <c r="L387" s="42">
        <v>0.0</v>
      </c>
      <c r="M387" s="42">
        <v>60.0</v>
      </c>
      <c r="N387" s="42">
        <v>173.0</v>
      </c>
      <c r="O387" s="310">
        <v>0.0</v>
      </c>
      <c r="P387" s="42">
        <v>0.0</v>
      </c>
      <c r="Q387" s="42">
        <v>62.0</v>
      </c>
      <c r="R387" s="42">
        <v>227.0</v>
      </c>
      <c r="S387" s="111"/>
      <c r="T387" s="111"/>
      <c r="U387" s="111"/>
      <c r="V387" s="111"/>
      <c r="W387" s="111"/>
      <c r="X387" s="111"/>
      <c r="Y387" s="111"/>
    </row>
    <row r="388" ht="14.25" customHeight="1">
      <c r="B388" s="77"/>
      <c r="C388" s="77" t="s">
        <v>394</v>
      </c>
      <c r="D388" s="77"/>
      <c r="E388" s="77"/>
      <c r="F388" s="77"/>
      <c r="G388" s="77"/>
      <c r="H388" s="77"/>
      <c r="I388" s="42">
        <f>SUM(I389:I393)</f>
        <v>48</v>
      </c>
      <c r="J388" s="110" t="s">
        <v>395</v>
      </c>
      <c r="K388" s="42">
        <f t="shared" ref="K388:Q388" si="343">SUM(K389:K393)</f>
        <v>10</v>
      </c>
      <c r="L388" s="42">
        <f t="shared" si="343"/>
        <v>20</v>
      </c>
      <c r="M388" s="42">
        <f t="shared" si="343"/>
        <v>32</v>
      </c>
      <c r="N388" s="42">
        <f t="shared" si="343"/>
        <v>44</v>
      </c>
      <c r="O388" s="42">
        <f t="shared" si="343"/>
        <v>11</v>
      </c>
      <c r="P388" s="42">
        <f t="shared" si="343"/>
        <v>22</v>
      </c>
      <c r="Q388" s="42">
        <f t="shared" si="343"/>
        <v>33</v>
      </c>
      <c r="R388" s="42">
        <v>44.0</v>
      </c>
      <c r="S388" s="111"/>
      <c r="T388" s="111"/>
      <c r="U388" s="111"/>
      <c r="V388" s="111"/>
      <c r="W388" s="111"/>
      <c r="X388" s="111"/>
      <c r="Y388" s="111"/>
    </row>
    <row r="389" ht="14.25" customHeight="1">
      <c r="B389" s="39"/>
      <c r="C389" s="109"/>
      <c r="D389" s="77" t="s">
        <v>396</v>
      </c>
      <c r="E389" s="77"/>
      <c r="F389" s="77"/>
      <c r="G389" s="77"/>
      <c r="H389" s="77"/>
      <c r="I389" s="310">
        <v>48.0</v>
      </c>
      <c r="J389" s="110" t="s">
        <v>395</v>
      </c>
      <c r="K389" s="310">
        <v>10.0</v>
      </c>
      <c r="L389" s="42">
        <v>20.0</v>
      </c>
      <c r="M389" s="42">
        <v>32.0</v>
      </c>
      <c r="N389" s="42">
        <v>44.0</v>
      </c>
      <c r="O389" s="310">
        <v>11.0</v>
      </c>
      <c r="P389" s="42">
        <v>22.0</v>
      </c>
      <c r="Q389" s="42">
        <v>33.0</v>
      </c>
      <c r="R389" s="42">
        <v>44.0</v>
      </c>
      <c r="S389" s="111"/>
      <c r="T389" s="111"/>
      <c r="U389" s="111"/>
      <c r="V389" s="111"/>
      <c r="W389" s="111"/>
      <c r="X389" s="111"/>
      <c r="Y389" s="111"/>
    </row>
    <row r="390" ht="14.25" customHeight="1">
      <c r="B390" s="39"/>
      <c r="C390" s="109"/>
      <c r="D390" s="77" t="s">
        <v>246</v>
      </c>
      <c r="E390" s="77"/>
      <c r="F390" s="77"/>
      <c r="G390" s="77"/>
      <c r="H390" s="77"/>
      <c r="I390" s="310">
        <v>0.0</v>
      </c>
      <c r="J390" s="110" t="s">
        <v>98</v>
      </c>
      <c r="K390" s="310">
        <v>0.0</v>
      </c>
      <c r="L390" s="310">
        <v>0.0</v>
      </c>
      <c r="M390" s="310">
        <v>0.0</v>
      </c>
      <c r="N390" s="310">
        <v>0.0</v>
      </c>
      <c r="O390" s="310">
        <v>0.0</v>
      </c>
      <c r="P390" s="310">
        <v>0.0</v>
      </c>
      <c r="Q390" s="310">
        <v>0.0</v>
      </c>
      <c r="R390" s="42"/>
      <c r="S390" s="111"/>
      <c r="T390" s="111"/>
      <c r="U390" s="111"/>
      <c r="V390" s="111"/>
      <c r="W390" s="111"/>
      <c r="X390" s="111"/>
      <c r="Y390" s="111"/>
    </row>
    <row r="391" ht="14.25" customHeight="1">
      <c r="B391" s="39"/>
      <c r="C391" s="109"/>
      <c r="D391" s="77" t="s">
        <v>246</v>
      </c>
      <c r="E391" s="77"/>
      <c r="F391" s="77"/>
      <c r="G391" s="77"/>
      <c r="H391" s="77"/>
      <c r="I391" s="310">
        <v>0.0</v>
      </c>
      <c r="J391" s="110" t="s">
        <v>98</v>
      </c>
      <c r="K391" s="310">
        <v>0.0</v>
      </c>
      <c r="L391" s="310">
        <v>0.0</v>
      </c>
      <c r="M391" s="310">
        <v>0.0</v>
      </c>
      <c r="N391" s="310">
        <v>0.0</v>
      </c>
      <c r="O391" s="310">
        <v>0.0</v>
      </c>
      <c r="P391" s="310">
        <v>0.0</v>
      </c>
      <c r="Q391" s="310">
        <v>0.0</v>
      </c>
      <c r="R391" s="42"/>
      <c r="S391" s="111"/>
      <c r="T391" s="111"/>
      <c r="U391" s="111"/>
      <c r="V391" s="111"/>
      <c r="W391" s="111"/>
      <c r="X391" s="111"/>
      <c r="Y391" s="111"/>
    </row>
    <row r="392" ht="14.25" customHeight="1">
      <c r="B392" s="39"/>
      <c r="C392" s="109"/>
      <c r="D392" s="77" t="s">
        <v>246</v>
      </c>
      <c r="E392" s="77"/>
      <c r="F392" s="77"/>
      <c r="G392" s="77"/>
      <c r="H392" s="77"/>
      <c r="I392" s="310">
        <v>0.0</v>
      </c>
      <c r="J392" s="110" t="s">
        <v>98</v>
      </c>
      <c r="K392" s="310">
        <v>0.0</v>
      </c>
      <c r="L392" s="310">
        <v>0.0</v>
      </c>
      <c r="M392" s="310">
        <v>0.0</v>
      </c>
      <c r="N392" s="310">
        <v>0.0</v>
      </c>
      <c r="O392" s="310">
        <v>0.0</v>
      </c>
      <c r="P392" s="310">
        <v>0.0</v>
      </c>
      <c r="Q392" s="310">
        <v>0.0</v>
      </c>
      <c r="R392" s="42"/>
      <c r="S392" s="111"/>
      <c r="T392" s="111"/>
      <c r="U392" s="111"/>
      <c r="V392" s="111"/>
      <c r="W392" s="111"/>
      <c r="X392" s="111"/>
      <c r="Y392" s="111"/>
    </row>
    <row r="393" ht="14.25" customHeight="1">
      <c r="B393" s="39"/>
      <c r="C393" s="109"/>
      <c r="D393" s="77" t="s">
        <v>246</v>
      </c>
      <c r="E393" s="77"/>
      <c r="F393" s="77"/>
      <c r="G393" s="77"/>
      <c r="H393" s="77"/>
      <c r="I393" s="310">
        <v>0.0</v>
      </c>
      <c r="J393" s="110" t="s">
        <v>98</v>
      </c>
      <c r="K393" s="310">
        <v>0.0</v>
      </c>
      <c r="L393" s="310">
        <v>0.0</v>
      </c>
      <c r="M393" s="310">
        <v>0.0</v>
      </c>
      <c r="N393" s="310">
        <v>0.0</v>
      </c>
      <c r="O393" s="310">
        <v>0.0</v>
      </c>
      <c r="P393" s="310">
        <v>0.0</v>
      </c>
      <c r="Q393" s="310">
        <v>0.0</v>
      </c>
      <c r="R393" s="42"/>
      <c r="S393" s="111"/>
      <c r="T393" s="111"/>
      <c r="U393" s="111"/>
      <c r="V393" s="111"/>
      <c r="W393" s="111"/>
      <c r="X393" s="111"/>
      <c r="Y393" s="111"/>
    </row>
    <row r="394" ht="14.25" customHeight="1">
      <c r="B394" s="77" t="s">
        <v>397</v>
      </c>
      <c r="C394" s="77"/>
      <c r="D394" s="77"/>
      <c r="E394" s="77"/>
      <c r="F394" s="77"/>
      <c r="G394" s="77"/>
      <c r="H394" s="77"/>
      <c r="I394" s="345"/>
      <c r="J394" s="103" t="s">
        <v>35</v>
      </c>
      <c r="K394" s="349">
        <f t="shared" ref="K394:P394" si="344">(SUM(K382,K388)/SUM($N382,$N388)*100)</f>
        <v>16.57142857</v>
      </c>
      <c r="L394" s="349">
        <f t="shared" si="344"/>
        <v>33.25714286</v>
      </c>
      <c r="M394" s="349">
        <f t="shared" si="344"/>
        <v>62.17142857</v>
      </c>
      <c r="N394" s="349">
        <f t="shared" si="344"/>
        <v>100</v>
      </c>
      <c r="O394" s="349">
        <f t="shared" si="344"/>
        <v>17.25714286</v>
      </c>
      <c r="P394" s="349">
        <f t="shared" si="344"/>
        <v>34.51428571</v>
      </c>
      <c r="Q394" s="42">
        <v>54.51</v>
      </c>
      <c r="R394" s="42">
        <v>100.0</v>
      </c>
      <c r="S394" s="46">
        <f t="shared" ref="S394:U394" si="345">IF(K394=0,0,IF((O394/K394*100)&gt;120,120,O394/K394*100))</f>
        <v>104.137931</v>
      </c>
      <c r="T394" s="46">
        <f t="shared" si="345"/>
        <v>103.7800687</v>
      </c>
      <c r="U394" s="46">
        <f t="shared" si="345"/>
        <v>87.67693015</v>
      </c>
      <c r="V394" s="46">
        <f t="shared" ref="V394:Y394" si="346">IF($N394=0,0,IF((O394/$N394*100)&gt;120,120,O394/$N394*100))</f>
        <v>17.25714286</v>
      </c>
      <c r="W394" s="46">
        <f t="shared" si="346"/>
        <v>34.51428571</v>
      </c>
      <c r="X394" s="46">
        <f t="shared" si="346"/>
        <v>54.51</v>
      </c>
      <c r="Y394" s="46">
        <f t="shared" si="346"/>
        <v>100</v>
      </c>
    </row>
    <row r="395" ht="14.25" customHeight="1">
      <c r="B395" s="39"/>
      <c r="C395" s="39"/>
      <c r="D395" s="39"/>
      <c r="E395" s="39"/>
      <c r="F395" s="39"/>
      <c r="G395" s="39"/>
      <c r="H395" s="39"/>
      <c r="I395" s="39"/>
      <c r="J395" s="39"/>
      <c r="K395" s="350"/>
      <c r="L395" s="39"/>
      <c r="M395" s="39"/>
      <c r="N395" s="39"/>
      <c r="O395" s="39"/>
      <c r="P395" s="39"/>
      <c r="Q395" s="39"/>
      <c r="R395" s="39"/>
      <c r="S395" s="39"/>
      <c r="T395" s="39"/>
      <c r="U395" s="39"/>
      <c r="V395" s="39"/>
      <c r="W395" s="39"/>
      <c r="X395" s="39"/>
      <c r="Y395" s="39"/>
    </row>
    <row r="396" ht="14.25" customHeight="1">
      <c r="B396" s="351"/>
      <c r="C396" s="352"/>
      <c r="D396" s="353"/>
      <c r="E396" s="353"/>
      <c r="F396" s="353"/>
      <c r="G396" s="354" t="s">
        <v>398</v>
      </c>
      <c r="H396" s="353"/>
      <c r="I396" s="353"/>
      <c r="J396" s="353"/>
      <c r="K396" s="355"/>
      <c r="L396" s="355"/>
      <c r="M396" s="355"/>
      <c r="N396" s="355"/>
      <c r="O396" s="355"/>
      <c r="P396" s="355"/>
      <c r="Q396" s="355"/>
      <c r="R396" s="355"/>
      <c r="S396" s="356">
        <f t="shared" ref="S396:U396" si="347">IF(SUM(K366:K376,K394)&gt;0,SUM(S366:S376,S394)/SUM(COUNTIF(K366:K376,"&gt;0"),COUNTIF(K394,"&gt;0")),0)</f>
        <v>108.045977</v>
      </c>
      <c r="T396" s="356">
        <f t="shared" si="347"/>
        <v>103.3971527</v>
      </c>
      <c r="U396" s="356">
        <f t="shared" si="347"/>
        <v>99.54074192</v>
      </c>
      <c r="V396" s="356">
        <f>SUM(V366:V394)/3</f>
        <v>20.88567529</v>
      </c>
      <c r="W396" s="356">
        <f t="shared" ref="W396:Y396" si="348">SUM(W366:W394)/7</f>
        <v>60.75915025</v>
      </c>
      <c r="X396" s="356">
        <f t="shared" si="348"/>
        <v>71.04916657</v>
      </c>
      <c r="Y396" s="356">
        <f t="shared" si="348"/>
        <v>102.0155236</v>
      </c>
    </row>
    <row r="397" ht="14.25" customHeight="1"/>
    <row r="398" ht="14.25" customHeight="1"/>
    <row r="399">
      <c r="B399" s="4" t="s">
        <v>399</v>
      </c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6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</row>
    <row r="400" ht="15.75" customHeight="1">
      <c r="B400" s="187" t="s">
        <v>2</v>
      </c>
      <c r="C400" s="8"/>
      <c r="D400" s="8"/>
      <c r="E400" s="8"/>
      <c r="F400" s="8"/>
      <c r="G400" s="8"/>
      <c r="H400" s="8"/>
      <c r="I400" s="343"/>
      <c r="J400" s="189" t="s">
        <v>3</v>
      </c>
      <c r="K400" s="11"/>
      <c r="L400" s="11"/>
      <c r="M400" s="11"/>
      <c r="N400" s="11"/>
      <c r="O400" s="11"/>
      <c r="P400" s="11"/>
      <c r="Q400" s="11"/>
      <c r="R400" s="12"/>
      <c r="S400" s="189" t="s">
        <v>4</v>
      </c>
      <c r="T400" s="11"/>
      <c r="U400" s="11"/>
      <c r="V400" s="11"/>
      <c r="W400" s="11"/>
      <c r="X400" s="11"/>
      <c r="Y400" s="12"/>
    </row>
    <row r="401" ht="14.25" customHeight="1">
      <c r="B401" s="13"/>
      <c r="I401" s="92"/>
      <c r="J401" s="190" t="s">
        <v>5</v>
      </c>
      <c r="K401" s="191" t="s">
        <v>62</v>
      </c>
      <c r="L401" s="17"/>
      <c r="M401" s="17"/>
      <c r="N401" s="18"/>
      <c r="O401" s="191" t="s">
        <v>63</v>
      </c>
      <c r="P401" s="17"/>
      <c r="Q401" s="17"/>
      <c r="R401" s="18"/>
      <c r="S401" s="191" t="s">
        <v>64</v>
      </c>
      <c r="T401" s="17"/>
      <c r="U401" s="18"/>
      <c r="V401" s="191" t="s">
        <v>9</v>
      </c>
      <c r="W401" s="17"/>
      <c r="X401" s="17"/>
      <c r="Y401" s="18"/>
    </row>
    <row r="402" ht="14.25" customHeight="1">
      <c r="B402" s="19"/>
      <c r="C402" s="20"/>
      <c r="D402" s="20"/>
      <c r="E402" s="20"/>
      <c r="F402" s="20"/>
      <c r="G402" s="20"/>
      <c r="H402" s="20"/>
      <c r="I402" s="21"/>
      <c r="J402" s="22"/>
      <c r="K402" s="192" t="s">
        <v>10</v>
      </c>
      <c r="L402" s="192" t="s">
        <v>11</v>
      </c>
      <c r="M402" s="192" t="s">
        <v>12</v>
      </c>
      <c r="N402" s="192" t="s">
        <v>13</v>
      </c>
      <c r="O402" s="192" t="s">
        <v>10</v>
      </c>
      <c r="P402" s="192" t="s">
        <v>11</v>
      </c>
      <c r="Q402" s="192" t="s">
        <v>12</v>
      </c>
      <c r="R402" s="192" t="s">
        <v>13</v>
      </c>
      <c r="S402" s="192" t="s">
        <v>10</v>
      </c>
      <c r="T402" s="192" t="s">
        <v>11</v>
      </c>
      <c r="U402" s="192" t="s">
        <v>12</v>
      </c>
      <c r="V402" s="192" t="s">
        <v>10</v>
      </c>
      <c r="W402" s="192" t="s">
        <v>11</v>
      </c>
      <c r="X402" s="192" t="s">
        <v>12</v>
      </c>
      <c r="Y402" s="192" t="s">
        <v>13</v>
      </c>
    </row>
    <row r="403" ht="14.25" customHeight="1">
      <c r="B403" s="194">
        <v>-1.0</v>
      </c>
      <c r="C403" s="27"/>
      <c r="D403" s="27"/>
      <c r="E403" s="27"/>
      <c r="F403" s="27"/>
      <c r="G403" s="27"/>
      <c r="H403" s="27"/>
      <c r="I403" s="344"/>
      <c r="J403" s="195">
        <v>-2.0</v>
      </c>
      <c r="K403" s="195">
        <v>-3.0</v>
      </c>
      <c r="L403" s="195">
        <v>-4.0</v>
      </c>
      <c r="M403" s="195">
        <v>-5.0</v>
      </c>
      <c r="N403" s="195">
        <v>-6.0</v>
      </c>
      <c r="O403" s="195">
        <v>-7.0</v>
      </c>
      <c r="P403" s="195">
        <v>-8.0</v>
      </c>
      <c r="Q403" s="195">
        <v>-9.0</v>
      </c>
      <c r="R403" s="195">
        <v>-10.0</v>
      </c>
      <c r="S403" s="195">
        <v>-11.0</v>
      </c>
      <c r="T403" s="195">
        <v>-12.0</v>
      </c>
      <c r="U403" s="195">
        <v>-13.0</v>
      </c>
      <c r="V403" s="195">
        <v>-14.0</v>
      </c>
      <c r="W403" s="195">
        <v>-15.0</v>
      </c>
      <c r="X403" s="195">
        <v>-16.0</v>
      </c>
      <c r="Y403" s="195">
        <v>-17.0</v>
      </c>
    </row>
    <row r="404" ht="14.25" customHeight="1">
      <c r="B404" s="35"/>
      <c r="C404" s="35"/>
      <c r="D404" s="35"/>
      <c r="E404" s="35"/>
      <c r="F404" s="35"/>
      <c r="G404" s="35"/>
      <c r="H404" s="35"/>
      <c r="I404" s="35"/>
      <c r="J404" s="35"/>
      <c r="K404" s="35"/>
      <c r="L404" s="35"/>
      <c r="M404" s="35"/>
      <c r="N404" s="35"/>
      <c r="O404" s="35"/>
      <c r="P404" s="35"/>
      <c r="Q404" s="35"/>
      <c r="R404" s="35"/>
      <c r="S404" s="35"/>
      <c r="T404" s="35"/>
      <c r="U404" s="35"/>
      <c r="V404" s="35"/>
      <c r="W404" s="35"/>
      <c r="X404" s="35"/>
      <c r="Y404" s="35"/>
    </row>
    <row r="405" ht="14.25" customHeight="1">
      <c r="B405" s="77" t="s">
        <v>400</v>
      </c>
      <c r="C405" s="77"/>
      <c r="D405" s="77"/>
      <c r="E405" s="77"/>
      <c r="F405" s="77"/>
      <c r="G405" s="77"/>
      <c r="H405" s="77"/>
      <c r="I405" s="159"/>
      <c r="J405" s="103" t="s">
        <v>85</v>
      </c>
      <c r="K405" s="39">
        <f t="shared" ref="K405:R405" si="349">SUM(K406:K407)</f>
        <v>0</v>
      </c>
      <c r="L405" s="39">
        <f t="shared" si="349"/>
        <v>1</v>
      </c>
      <c r="M405" s="60">
        <f t="shared" si="349"/>
        <v>2</v>
      </c>
      <c r="N405" s="347">
        <f t="shared" si="349"/>
        <v>2</v>
      </c>
      <c r="O405" s="62">
        <f t="shared" si="349"/>
        <v>0</v>
      </c>
      <c r="P405" s="39">
        <f t="shared" si="349"/>
        <v>1</v>
      </c>
      <c r="Q405" s="39">
        <f t="shared" si="349"/>
        <v>2</v>
      </c>
      <c r="R405" s="39">
        <f t="shared" si="349"/>
        <v>2</v>
      </c>
      <c r="S405" s="46">
        <f t="shared" ref="S405:U405" si="350">IF(K405=0,0,IF((O405/K405*100)&gt;120,120,O405/K405*100))</f>
        <v>0</v>
      </c>
      <c r="T405" s="46">
        <f t="shared" si="350"/>
        <v>100</v>
      </c>
      <c r="U405" s="46">
        <f t="shared" si="350"/>
        <v>100</v>
      </c>
      <c r="V405" s="46">
        <f t="shared" ref="V405:Y405" si="351">IF($N405=0,0,IF((O405/$N405*100)&gt;120,120,O405/$N405*100))</f>
        <v>0</v>
      </c>
      <c r="W405" s="46">
        <f t="shared" si="351"/>
        <v>50</v>
      </c>
      <c r="X405" s="46">
        <f t="shared" si="351"/>
        <v>100</v>
      </c>
      <c r="Y405" s="46">
        <f t="shared" si="351"/>
        <v>100</v>
      </c>
    </row>
    <row r="406" ht="14.25" customHeight="1">
      <c r="B406" s="77"/>
      <c r="C406" s="77" t="s">
        <v>401</v>
      </c>
      <c r="D406" s="77"/>
      <c r="E406" s="77"/>
      <c r="F406" s="77"/>
      <c r="G406" s="77"/>
      <c r="H406" s="77"/>
      <c r="I406" s="159">
        <v>2.0</v>
      </c>
      <c r="J406" s="110" t="s">
        <v>87</v>
      </c>
      <c r="K406" s="42">
        <v>0.0</v>
      </c>
      <c r="L406" s="42">
        <v>1.0</v>
      </c>
      <c r="M406" s="42">
        <v>2.0</v>
      </c>
      <c r="N406" s="42">
        <v>2.0</v>
      </c>
      <c r="O406" s="42">
        <v>0.0</v>
      </c>
      <c r="P406" s="42">
        <v>1.0</v>
      </c>
      <c r="Q406" s="42">
        <v>2.0</v>
      </c>
      <c r="R406" s="42">
        <v>2.0</v>
      </c>
      <c r="S406" s="46">
        <f t="shared" ref="S406:U406" si="352">IF(K406=0,0,IF((O406/K406*100)&gt;120,120,O406/K406*100))</f>
        <v>0</v>
      </c>
      <c r="T406" s="46">
        <f t="shared" si="352"/>
        <v>100</v>
      </c>
      <c r="U406" s="46">
        <f t="shared" si="352"/>
        <v>100</v>
      </c>
      <c r="V406" s="46">
        <f t="shared" ref="V406:Y406" si="353">IF($N406=0,0,IF((O406/$N406*100)&gt;120,120,O406/$N406*100))</f>
        <v>0</v>
      </c>
      <c r="W406" s="46">
        <f t="shared" si="353"/>
        <v>50</v>
      </c>
      <c r="X406" s="46">
        <f t="shared" si="353"/>
        <v>100</v>
      </c>
      <c r="Y406" s="46">
        <f t="shared" si="353"/>
        <v>100</v>
      </c>
    </row>
    <row r="407" ht="14.25" customHeight="1">
      <c r="B407" s="77"/>
      <c r="C407" s="77" t="s">
        <v>402</v>
      </c>
      <c r="D407" s="77"/>
      <c r="E407" s="77"/>
      <c r="F407" s="77"/>
      <c r="G407" s="77"/>
      <c r="H407" s="77"/>
      <c r="I407" s="159">
        <v>0.0</v>
      </c>
      <c r="J407" s="110" t="s">
        <v>66</v>
      </c>
      <c r="K407" s="42">
        <v>0.0</v>
      </c>
      <c r="L407" s="42">
        <v>0.0</v>
      </c>
      <c r="M407" s="42">
        <v>0.0</v>
      </c>
      <c r="N407" s="42">
        <v>0.0</v>
      </c>
      <c r="O407" s="42">
        <v>0.0</v>
      </c>
      <c r="P407" s="42">
        <v>0.0</v>
      </c>
      <c r="Q407" s="42">
        <v>0.0</v>
      </c>
      <c r="R407" s="42">
        <v>0.0</v>
      </c>
      <c r="S407" s="46">
        <f t="shared" ref="S407:U407" si="354">IF(K407=0,0,IF((O407/K407*100)&gt;120,120,O407/K407*100))</f>
        <v>0</v>
      </c>
      <c r="T407" s="46">
        <f t="shared" si="354"/>
        <v>0</v>
      </c>
      <c r="U407" s="46">
        <f t="shared" si="354"/>
        <v>0</v>
      </c>
      <c r="V407" s="46">
        <f t="shared" ref="V407:Y407" si="355">IF($N407=0,0,IF((O407/$N407*100)&gt;120,120,O407/$N407*100))</f>
        <v>0</v>
      </c>
      <c r="W407" s="46">
        <f t="shared" si="355"/>
        <v>0</v>
      </c>
      <c r="X407" s="46">
        <f t="shared" si="355"/>
        <v>0</v>
      </c>
      <c r="Y407" s="46">
        <f t="shared" si="355"/>
        <v>0</v>
      </c>
    </row>
    <row r="408" ht="14.25" customHeight="1">
      <c r="B408" s="77" t="s">
        <v>403</v>
      </c>
      <c r="C408" s="77"/>
      <c r="D408" s="77"/>
      <c r="E408" s="77"/>
      <c r="F408" s="77"/>
      <c r="G408" s="77"/>
      <c r="H408" s="77"/>
      <c r="I408" s="159"/>
      <c r="J408" s="103" t="s">
        <v>85</v>
      </c>
      <c r="K408" s="39">
        <f t="shared" ref="K408:R408" si="356">SUM(K409:K410)</f>
        <v>0</v>
      </c>
      <c r="L408" s="39">
        <f t="shared" si="356"/>
        <v>1</v>
      </c>
      <c r="M408" s="60">
        <f t="shared" si="356"/>
        <v>1</v>
      </c>
      <c r="N408" s="347">
        <f t="shared" si="356"/>
        <v>1</v>
      </c>
      <c r="O408" s="62">
        <f t="shared" si="356"/>
        <v>0</v>
      </c>
      <c r="P408" s="39">
        <f t="shared" si="356"/>
        <v>1</v>
      </c>
      <c r="Q408" s="39">
        <f t="shared" si="356"/>
        <v>1</v>
      </c>
      <c r="R408" s="39">
        <f t="shared" si="356"/>
        <v>1</v>
      </c>
      <c r="S408" s="46">
        <f t="shared" ref="S408:U408" si="357">IF(K408=0,0,IF((O408/K408*100)&gt;120,120,O408/K408*100))</f>
        <v>0</v>
      </c>
      <c r="T408" s="46">
        <f t="shared" si="357"/>
        <v>100</v>
      </c>
      <c r="U408" s="46">
        <f t="shared" si="357"/>
        <v>100</v>
      </c>
      <c r="V408" s="46">
        <f t="shared" ref="V408:Y408" si="358">IF($N408=0,0,IF((O408/$N408*100)&gt;120,120,O408/$N408*100))</f>
        <v>0</v>
      </c>
      <c r="W408" s="46">
        <f t="shared" si="358"/>
        <v>100</v>
      </c>
      <c r="X408" s="46">
        <f t="shared" si="358"/>
        <v>100</v>
      </c>
      <c r="Y408" s="46">
        <f t="shared" si="358"/>
        <v>100</v>
      </c>
    </row>
    <row r="409" ht="14.25" customHeight="1">
      <c r="B409" s="77"/>
      <c r="C409" s="77" t="s">
        <v>404</v>
      </c>
      <c r="D409" s="77"/>
      <c r="E409" s="77"/>
      <c r="F409" s="77"/>
      <c r="G409" s="77"/>
      <c r="H409" s="77"/>
      <c r="I409" s="159">
        <v>1.0</v>
      </c>
      <c r="J409" s="110" t="s">
        <v>87</v>
      </c>
      <c r="K409" s="42">
        <v>0.0</v>
      </c>
      <c r="L409" s="42">
        <v>1.0</v>
      </c>
      <c r="M409" s="42">
        <v>1.0</v>
      </c>
      <c r="N409" s="42">
        <v>1.0</v>
      </c>
      <c r="O409" s="42">
        <v>0.0</v>
      </c>
      <c r="P409" s="42">
        <v>1.0</v>
      </c>
      <c r="Q409" s="42">
        <v>1.0</v>
      </c>
      <c r="R409" s="42">
        <v>1.0</v>
      </c>
      <c r="S409" s="46">
        <f t="shared" ref="S409:U409" si="359">IF(K409=0,0,IF((O409/K409*100)&gt;120,120,O409/K409*100))</f>
        <v>0</v>
      </c>
      <c r="T409" s="46">
        <f t="shared" si="359"/>
        <v>100</v>
      </c>
      <c r="U409" s="46">
        <f t="shared" si="359"/>
        <v>100</v>
      </c>
      <c r="V409" s="46">
        <f t="shared" ref="V409:Y409" si="360">IF($N409=0,0,IF((O409/$N409*100)&gt;120,120,O409/$N409*100))</f>
        <v>0</v>
      </c>
      <c r="W409" s="46">
        <f t="shared" si="360"/>
        <v>100</v>
      </c>
      <c r="X409" s="46">
        <f t="shared" si="360"/>
        <v>100</v>
      </c>
      <c r="Y409" s="46">
        <f t="shared" si="360"/>
        <v>100</v>
      </c>
    </row>
    <row r="410" ht="14.25" customHeight="1">
      <c r="B410" s="77"/>
      <c r="C410" s="77" t="s">
        <v>405</v>
      </c>
      <c r="D410" s="77"/>
      <c r="E410" s="77"/>
      <c r="F410" s="77"/>
      <c r="G410" s="77"/>
      <c r="H410" s="77"/>
      <c r="I410" s="159">
        <v>0.0</v>
      </c>
      <c r="J410" s="110" t="s">
        <v>66</v>
      </c>
      <c r="K410" s="42">
        <v>0.0</v>
      </c>
      <c r="L410" s="42">
        <v>0.0</v>
      </c>
      <c r="M410" s="42">
        <v>0.0</v>
      </c>
      <c r="N410" s="42">
        <v>0.0</v>
      </c>
      <c r="O410" s="42">
        <v>0.0</v>
      </c>
      <c r="P410" s="42">
        <v>0.0</v>
      </c>
      <c r="Q410" s="42">
        <v>0.0</v>
      </c>
      <c r="R410" s="42">
        <v>0.0</v>
      </c>
      <c r="S410" s="46">
        <f t="shared" ref="S410:U410" si="361">IF(K410=0,0,IF((O410/K410*100)&gt;120,120,O410/K410*100))</f>
        <v>0</v>
      </c>
      <c r="T410" s="46">
        <f t="shared" si="361"/>
        <v>0</v>
      </c>
      <c r="U410" s="46">
        <f t="shared" si="361"/>
        <v>0</v>
      </c>
      <c r="V410" s="46">
        <f t="shared" ref="V410:Y410" si="362">IF($N410=0,0,IF((O410/$N410*100)&gt;120,120,O410/$N410*100))</f>
        <v>0</v>
      </c>
      <c r="W410" s="46">
        <f t="shared" si="362"/>
        <v>0</v>
      </c>
      <c r="X410" s="46">
        <f t="shared" si="362"/>
        <v>0</v>
      </c>
      <c r="Y410" s="46">
        <f t="shared" si="362"/>
        <v>0</v>
      </c>
    </row>
    <row r="411" ht="14.25" customHeight="1">
      <c r="B411" s="77" t="s">
        <v>406</v>
      </c>
      <c r="C411" s="77"/>
      <c r="D411" s="77"/>
      <c r="E411" s="77"/>
      <c r="F411" s="77"/>
      <c r="G411" s="77"/>
      <c r="H411" s="77"/>
      <c r="I411" s="159"/>
      <c r="J411" s="103" t="s">
        <v>87</v>
      </c>
      <c r="K411" s="42">
        <v>0.0</v>
      </c>
      <c r="L411" s="42">
        <v>0.0</v>
      </c>
      <c r="M411" s="42">
        <v>0.0</v>
      </c>
      <c r="N411" s="42">
        <v>0.0</v>
      </c>
      <c r="O411" s="42">
        <v>0.0</v>
      </c>
      <c r="P411" s="42">
        <v>0.0</v>
      </c>
      <c r="Q411" s="42">
        <v>0.0</v>
      </c>
      <c r="R411" s="42">
        <v>0.0</v>
      </c>
      <c r="S411" s="46">
        <f t="shared" ref="S411:U411" si="363">IF(K411=0,0,IF((O411/K411*100)&gt;120,120,O411/K411*100))</f>
        <v>0</v>
      </c>
      <c r="T411" s="46">
        <f t="shared" si="363"/>
        <v>0</v>
      </c>
      <c r="U411" s="46">
        <f t="shared" si="363"/>
        <v>0</v>
      </c>
      <c r="V411" s="46">
        <f t="shared" ref="V411:Y411" si="364">IF($N411=0,0,IF((O411/$N411*100)&gt;120,120,O411/$N411*100))</f>
        <v>0</v>
      </c>
      <c r="W411" s="46">
        <f t="shared" si="364"/>
        <v>0</v>
      </c>
      <c r="X411" s="46">
        <f t="shared" si="364"/>
        <v>0</v>
      </c>
      <c r="Y411" s="46">
        <f t="shared" si="364"/>
        <v>0</v>
      </c>
    </row>
    <row r="412" ht="14.25" customHeight="1">
      <c r="B412" s="77" t="s">
        <v>407</v>
      </c>
      <c r="C412" s="77"/>
      <c r="D412" s="77"/>
      <c r="E412" s="77"/>
      <c r="F412" s="77"/>
      <c r="G412" s="77"/>
      <c r="H412" s="77"/>
      <c r="I412" s="159">
        <v>0.0</v>
      </c>
      <c r="J412" s="103" t="s">
        <v>95</v>
      </c>
      <c r="K412" s="42">
        <v>0.0</v>
      </c>
      <c r="L412" s="42">
        <v>0.0</v>
      </c>
      <c r="M412" s="42">
        <v>0.0</v>
      </c>
      <c r="N412" s="42">
        <v>0.0</v>
      </c>
      <c r="O412" s="42">
        <v>0.0</v>
      </c>
      <c r="P412" s="42">
        <v>0.0</v>
      </c>
      <c r="Q412" s="42">
        <v>0.0</v>
      </c>
      <c r="R412" s="42">
        <v>0.0</v>
      </c>
      <c r="S412" s="46">
        <f t="shared" ref="S412:U412" si="365">IF(K412=0,0,IF((O412/K412*100)&gt;120,120,O412/K412*100))</f>
        <v>0</v>
      </c>
      <c r="T412" s="46">
        <f t="shared" si="365"/>
        <v>0</v>
      </c>
      <c r="U412" s="46">
        <f t="shared" si="365"/>
        <v>0</v>
      </c>
      <c r="V412" s="46">
        <f t="shared" ref="V412:Y412" si="366">IF($N412=0,0,IF((O412/$N412*100)&gt;120,120,O412/$N412*100))</f>
        <v>0</v>
      </c>
      <c r="W412" s="46">
        <f t="shared" si="366"/>
        <v>0</v>
      </c>
      <c r="X412" s="46">
        <f t="shared" si="366"/>
        <v>0</v>
      </c>
      <c r="Y412" s="46">
        <f t="shared" si="366"/>
        <v>0</v>
      </c>
    </row>
    <row r="413" ht="14.25" customHeight="1">
      <c r="B413" s="77" t="s">
        <v>408</v>
      </c>
      <c r="C413" s="77"/>
      <c r="D413" s="77"/>
      <c r="E413" s="77"/>
      <c r="F413" s="77"/>
      <c r="G413" s="77"/>
      <c r="H413" s="77"/>
      <c r="I413" s="159"/>
      <c r="J413" s="103" t="s">
        <v>35</v>
      </c>
      <c r="K413" s="254">
        <f t="shared" ref="K413:R413" si="367">IF($I414+$I416+$I419=0,0,AVERAGE(IF($I414&gt;0,K414/$I414*100,0),IF($I416&gt;0,K416/$I416*100,0),IF($I419&gt;0,K419/$I419*100,0)))</f>
        <v>0</v>
      </c>
      <c r="L413" s="254">
        <f t="shared" si="367"/>
        <v>6.956021845</v>
      </c>
      <c r="M413" s="336">
        <f t="shared" si="367"/>
        <v>43.73383156</v>
      </c>
      <c r="N413" s="357">
        <f t="shared" si="367"/>
        <v>95.45846508</v>
      </c>
      <c r="O413" s="357">
        <f t="shared" si="367"/>
        <v>0</v>
      </c>
      <c r="P413" s="357">
        <f t="shared" si="367"/>
        <v>7.190763629</v>
      </c>
      <c r="Q413" s="357">
        <f t="shared" si="367"/>
        <v>59.03888942</v>
      </c>
      <c r="R413" s="357">
        <f t="shared" si="367"/>
        <v>100</v>
      </c>
      <c r="S413" s="46">
        <f t="shared" ref="S413:U413" si="368">IF(K413=0,0,IF((O413/K413*100)&gt;120,120,O413/K413*100))</f>
        <v>0</v>
      </c>
      <c r="T413" s="46">
        <f t="shared" si="368"/>
        <v>103.3746556</v>
      </c>
      <c r="U413" s="46">
        <f t="shared" si="368"/>
        <v>120</v>
      </c>
      <c r="V413" s="46">
        <f t="shared" ref="V413:Y413" si="369">IF($N413=0,0,IF((O413/$N413*100)&gt;120,120,O413/$N413*100))</f>
        <v>0</v>
      </c>
      <c r="W413" s="46">
        <f t="shared" si="369"/>
        <v>7.532871625</v>
      </c>
      <c r="X413" s="46">
        <f t="shared" si="369"/>
        <v>61.84772547</v>
      </c>
      <c r="Y413" s="46">
        <f t="shared" si="369"/>
        <v>104.7576031</v>
      </c>
    </row>
    <row r="414" ht="14.25" customHeight="1">
      <c r="B414" s="77"/>
      <c r="C414" s="77" t="s">
        <v>409</v>
      </c>
      <c r="D414" s="77"/>
      <c r="E414" s="77"/>
      <c r="F414" s="77"/>
      <c r="G414" s="77"/>
      <c r="H414" s="77"/>
      <c r="I414" s="42">
        <f>SUM(I415)</f>
        <v>90</v>
      </c>
      <c r="J414" s="110" t="s">
        <v>98</v>
      </c>
      <c r="K414" s="42">
        <f t="shared" ref="K414:R414" si="370">SUM(K415)</f>
        <v>0</v>
      </c>
      <c r="L414" s="42">
        <f t="shared" si="370"/>
        <v>0</v>
      </c>
      <c r="M414" s="42">
        <f t="shared" si="370"/>
        <v>45</v>
      </c>
      <c r="N414" s="42">
        <f t="shared" si="370"/>
        <v>90</v>
      </c>
      <c r="O414" s="42">
        <f t="shared" si="370"/>
        <v>0</v>
      </c>
      <c r="P414" s="42">
        <f t="shared" si="370"/>
        <v>0</v>
      </c>
      <c r="Q414" s="42">
        <f t="shared" si="370"/>
        <v>70</v>
      </c>
      <c r="R414" s="42">
        <f t="shared" si="370"/>
        <v>90</v>
      </c>
      <c r="S414" s="111"/>
      <c r="T414" s="111"/>
      <c r="U414" s="111"/>
      <c r="V414" s="111"/>
      <c r="W414" s="111"/>
      <c r="X414" s="111"/>
      <c r="Y414" s="111"/>
    </row>
    <row r="415" ht="14.25" customHeight="1">
      <c r="B415" s="39"/>
      <c r="C415" s="109"/>
      <c r="D415" s="77" t="s">
        <v>410</v>
      </c>
      <c r="E415" s="77"/>
      <c r="F415" s="77"/>
      <c r="G415" s="77"/>
      <c r="H415" s="77"/>
      <c r="I415" s="42">
        <v>90.0</v>
      </c>
      <c r="J415" s="110" t="s">
        <v>98</v>
      </c>
      <c r="K415" s="42">
        <v>0.0</v>
      </c>
      <c r="L415" s="42">
        <v>0.0</v>
      </c>
      <c r="M415" s="42">
        <v>45.0</v>
      </c>
      <c r="N415" s="42">
        <v>90.0</v>
      </c>
      <c r="O415" s="42">
        <v>0.0</v>
      </c>
      <c r="P415" s="42">
        <v>0.0</v>
      </c>
      <c r="Q415" s="42">
        <v>70.0</v>
      </c>
      <c r="R415" s="42">
        <v>90.0</v>
      </c>
      <c r="S415" s="111"/>
      <c r="T415" s="111"/>
      <c r="U415" s="111"/>
      <c r="V415" s="111"/>
      <c r="W415" s="111"/>
      <c r="X415" s="111"/>
      <c r="Y415" s="111"/>
    </row>
    <row r="416" ht="14.25" customHeight="1">
      <c r="B416" s="77"/>
      <c r="C416" s="77" t="s">
        <v>411</v>
      </c>
      <c r="D416" s="77"/>
      <c r="E416" s="77"/>
      <c r="F416" s="77"/>
      <c r="G416" s="77"/>
      <c r="H416" s="77"/>
      <c r="I416" s="42">
        <f>SUM(I417:I418)</f>
        <v>98</v>
      </c>
      <c r="J416" s="110" t="s">
        <v>98</v>
      </c>
      <c r="K416" s="42">
        <f t="shared" ref="K416:R416" si="371">SUM(K417:K418)</f>
        <v>0</v>
      </c>
      <c r="L416" s="42">
        <f t="shared" si="371"/>
        <v>17</v>
      </c>
      <c r="M416" s="42">
        <f t="shared" si="371"/>
        <v>43</v>
      </c>
      <c r="N416" s="42">
        <f t="shared" si="371"/>
        <v>95</v>
      </c>
      <c r="O416" s="42">
        <f t="shared" si="371"/>
        <v>0</v>
      </c>
      <c r="P416" s="42">
        <f t="shared" si="371"/>
        <v>17</v>
      </c>
      <c r="Q416" s="42">
        <f t="shared" si="371"/>
        <v>38</v>
      </c>
      <c r="R416" s="42">
        <f t="shared" si="371"/>
        <v>98</v>
      </c>
      <c r="S416" s="111"/>
      <c r="T416" s="111"/>
      <c r="U416" s="111"/>
      <c r="V416" s="111"/>
      <c r="W416" s="111"/>
      <c r="X416" s="111"/>
      <c r="Y416" s="111"/>
    </row>
    <row r="417" ht="14.25" customHeight="1">
      <c r="B417" s="39"/>
      <c r="C417" s="109"/>
      <c r="D417" s="77" t="s">
        <v>412</v>
      </c>
      <c r="E417" s="77"/>
      <c r="F417" s="77"/>
      <c r="G417" s="77"/>
      <c r="H417" s="77"/>
      <c r="I417" s="42">
        <v>30.0</v>
      </c>
      <c r="J417" s="110" t="s">
        <v>98</v>
      </c>
      <c r="K417" s="42">
        <v>0.0</v>
      </c>
      <c r="L417" s="42">
        <v>0.0</v>
      </c>
      <c r="M417" s="42">
        <v>9.0</v>
      </c>
      <c r="N417" s="42">
        <v>27.0</v>
      </c>
      <c r="O417" s="42">
        <v>0.0</v>
      </c>
      <c r="P417" s="42">
        <v>0.0</v>
      </c>
      <c r="Q417" s="42">
        <v>4.0</v>
      </c>
      <c r="R417" s="42">
        <v>30.0</v>
      </c>
      <c r="S417" s="111"/>
      <c r="T417" s="111"/>
      <c r="U417" s="111"/>
      <c r="V417" s="111"/>
      <c r="W417" s="111"/>
      <c r="X417" s="111"/>
      <c r="Y417" s="111"/>
    </row>
    <row r="418" ht="14.25" customHeight="1">
      <c r="B418" s="39"/>
      <c r="C418" s="109"/>
      <c r="D418" s="77" t="s">
        <v>413</v>
      </c>
      <c r="E418" s="77"/>
      <c r="F418" s="77"/>
      <c r="G418" s="77"/>
      <c r="H418" s="77"/>
      <c r="I418" s="42">
        <v>68.0</v>
      </c>
      <c r="J418" s="110" t="s">
        <v>98</v>
      </c>
      <c r="K418" s="42">
        <v>0.0</v>
      </c>
      <c r="L418" s="42">
        <v>17.0</v>
      </c>
      <c r="M418" s="42">
        <v>34.0</v>
      </c>
      <c r="N418" s="42">
        <v>68.0</v>
      </c>
      <c r="O418" s="42">
        <v>0.0</v>
      </c>
      <c r="P418" s="42">
        <v>17.0</v>
      </c>
      <c r="Q418" s="42">
        <v>34.0</v>
      </c>
      <c r="R418" s="42">
        <v>68.0</v>
      </c>
      <c r="S418" s="111"/>
      <c r="T418" s="111"/>
      <c r="U418" s="111"/>
      <c r="V418" s="111"/>
      <c r="W418" s="111"/>
      <c r="X418" s="111"/>
      <c r="Y418" s="111"/>
    </row>
    <row r="419" ht="14.25" customHeight="1">
      <c r="B419" s="77"/>
      <c r="C419" s="77" t="s">
        <v>414</v>
      </c>
      <c r="D419" s="77"/>
      <c r="E419" s="77"/>
      <c r="F419" s="77"/>
      <c r="G419" s="77"/>
      <c r="H419" s="77"/>
      <c r="I419" s="42">
        <f>SUM(I420:I424)</f>
        <v>142</v>
      </c>
      <c r="J419" s="110" t="s">
        <v>98</v>
      </c>
      <c r="K419" s="42">
        <f t="shared" ref="K419:R419" si="372">SUM(K420:K424)</f>
        <v>0</v>
      </c>
      <c r="L419" s="42">
        <f t="shared" si="372"/>
        <v>5</v>
      </c>
      <c r="M419" s="42">
        <f t="shared" si="372"/>
        <v>53</v>
      </c>
      <c r="N419" s="42">
        <f t="shared" si="372"/>
        <v>127</v>
      </c>
      <c r="O419" s="42">
        <f t="shared" si="372"/>
        <v>0</v>
      </c>
      <c r="P419" s="42">
        <f t="shared" si="372"/>
        <v>6</v>
      </c>
      <c r="Q419" s="42">
        <f t="shared" si="372"/>
        <v>86</v>
      </c>
      <c r="R419" s="42">
        <f t="shared" si="372"/>
        <v>142</v>
      </c>
      <c r="S419" s="111"/>
      <c r="T419" s="111"/>
      <c r="U419" s="111"/>
      <c r="V419" s="111"/>
      <c r="W419" s="111"/>
      <c r="X419" s="111"/>
      <c r="Y419" s="111"/>
    </row>
    <row r="420" ht="14.25" customHeight="1">
      <c r="B420" s="39"/>
      <c r="C420" s="109"/>
      <c r="D420" s="77" t="s">
        <v>415</v>
      </c>
      <c r="E420" s="77"/>
      <c r="F420" s="77"/>
      <c r="G420" s="77"/>
      <c r="H420" s="77"/>
      <c r="I420" s="42">
        <v>80.0</v>
      </c>
      <c r="J420" s="110" t="s">
        <v>98</v>
      </c>
      <c r="K420" s="42">
        <v>0.0</v>
      </c>
      <c r="L420" s="42">
        <v>0.0</v>
      </c>
      <c r="M420" s="42">
        <v>24.0</v>
      </c>
      <c r="N420" s="42">
        <v>72.0</v>
      </c>
      <c r="O420" s="42">
        <v>0.0</v>
      </c>
      <c r="P420" s="42">
        <v>0.0</v>
      </c>
      <c r="Q420" s="42">
        <v>66.0</v>
      </c>
      <c r="R420" s="42">
        <v>80.0</v>
      </c>
      <c r="S420" s="111"/>
      <c r="T420" s="111"/>
      <c r="U420" s="111"/>
      <c r="V420" s="111"/>
      <c r="W420" s="111"/>
      <c r="X420" s="111"/>
      <c r="Y420" s="111"/>
    </row>
    <row r="421" ht="14.25" customHeight="1">
      <c r="B421" s="39"/>
      <c r="C421" s="109"/>
      <c r="D421" s="77" t="s">
        <v>416</v>
      </c>
      <c r="E421" s="77"/>
      <c r="F421" s="77"/>
      <c r="G421" s="77"/>
      <c r="H421" s="77"/>
      <c r="I421" s="42">
        <v>10.0</v>
      </c>
      <c r="J421" s="110" t="s">
        <v>98</v>
      </c>
      <c r="K421" s="42">
        <v>0.0</v>
      </c>
      <c r="L421" s="42">
        <v>0.0</v>
      </c>
      <c r="M421" s="42">
        <v>10.0</v>
      </c>
      <c r="N421" s="42">
        <v>10.0</v>
      </c>
      <c r="O421" s="42">
        <v>0.0</v>
      </c>
      <c r="P421" s="42">
        <v>1.0</v>
      </c>
      <c r="Q421" s="42">
        <v>3.0</v>
      </c>
      <c r="R421" s="42">
        <v>10.0</v>
      </c>
      <c r="S421" s="111"/>
      <c r="T421" s="111"/>
      <c r="U421" s="111"/>
      <c r="V421" s="111"/>
      <c r="W421" s="111"/>
      <c r="X421" s="111"/>
      <c r="Y421" s="111"/>
    </row>
    <row r="422" ht="14.25" customHeight="1">
      <c r="B422" s="39"/>
      <c r="C422" s="109"/>
      <c r="D422" s="77" t="s">
        <v>417</v>
      </c>
      <c r="E422" s="77"/>
      <c r="F422" s="77"/>
      <c r="G422" s="77"/>
      <c r="H422" s="77"/>
      <c r="I422" s="42">
        <v>10.0</v>
      </c>
      <c r="J422" s="110" t="s">
        <v>98</v>
      </c>
      <c r="K422" s="42">
        <v>0.0</v>
      </c>
      <c r="L422" s="42">
        <v>0.0</v>
      </c>
      <c r="M422" s="42">
        <v>3.0</v>
      </c>
      <c r="N422" s="42">
        <v>9.0</v>
      </c>
      <c r="O422" s="42">
        <v>0.0</v>
      </c>
      <c r="P422" s="42">
        <v>0.0</v>
      </c>
      <c r="Q422" s="42">
        <v>4.0</v>
      </c>
      <c r="R422" s="42">
        <v>10.0</v>
      </c>
      <c r="S422" s="111"/>
      <c r="T422" s="111"/>
      <c r="U422" s="111"/>
      <c r="V422" s="111"/>
      <c r="W422" s="111"/>
      <c r="X422" s="111"/>
      <c r="Y422" s="111"/>
    </row>
    <row r="423" ht="14.25" customHeight="1">
      <c r="B423" s="39"/>
      <c r="C423" s="109"/>
      <c r="D423" s="77" t="s">
        <v>418</v>
      </c>
      <c r="E423" s="77"/>
      <c r="F423" s="77"/>
      <c r="G423" s="77"/>
      <c r="H423" s="77"/>
      <c r="I423" s="42">
        <v>6.0</v>
      </c>
      <c r="J423" s="110" t="s">
        <v>98</v>
      </c>
      <c r="K423" s="42">
        <v>0.0</v>
      </c>
      <c r="L423" s="42">
        <v>0.0</v>
      </c>
      <c r="M423" s="42">
        <v>6.0</v>
      </c>
      <c r="N423" s="42">
        <v>6.0</v>
      </c>
      <c r="O423" s="42">
        <v>0.0</v>
      </c>
      <c r="P423" s="42">
        <v>0.0</v>
      </c>
      <c r="Q423" s="42">
        <v>3.0</v>
      </c>
      <c r="R423" s="42">
        <v>6.0</v>
      </c>
      <c r="S423" s="111"/>
      <c r="T423" s="111"/>
      <c r="U423" s="111"/>
      <c r="V423" s="111"/>
      <c r="W423" s="111"/>
      <c r="X423" s="111"/>
      <c r="Y423" s="111"/>
    </row>
    <row r="424" ht="14.25" customHeight="1">
      <c r="B424" s="39"/>
      <c r="C424" s="109"/>
      <c r="D424" s="77" t="s">
        <v>419</v>
      </c>
      <c r="E424" s="77"/>
      <c r="F424" s="77"/>
      <c r="G424" s="77"/>
      <c r="H424" s="77"/>
      <c r="I424" s="42">
        <v>36.0</v>
      </c>
      <c r="J424" s="110" t="s">
        <v>98</v>
      </c>
      <c r="K424" s="42">
        <v>0.0</v>
      </c>
      <c r="L424" s="42">
        <v>5.0</v>
      </c>
      <c r="M424" s="42">
        <v>10.0</v>
      </c>
      <c r="N424" s="42">
        <v>30.0</v>
      </c>
      <c r="O424" s="42">
        <v>0.0</v>
      </c>
      <c r="P424" s="42">
        <v>5.0</v>
      </c>
      <c r="Q424" s="42">
        <v>10.0</v>
      </c>
      <c r="R424" s="42">
        <v>36.0</v>
      </c>
      <c r="S424" s="111"/>
      <c r="T424" s="111"/>
      <c r="U424" s="111"/>
      <c r="V424" s="111"/>
      <c r="W424" s="111"/>
      <c r="X424" s="111"/>
      <c r="Y424" s="111"/>
    </row>
    <row r="425" ht="14.25" customHeight="1">
      <c r="B425" s="77" t="s">
        <v>420</v>
      </c>
      <c r="C425" s="77"/>
      <c r="D425" s="77"/>
      <c r="E425" s="77"/>
      <c r="F425" s="77"/>
      <c r="G425" s="77"/>
      <c r="H425" s="77"/>
      <c r="I425" s="159"/>
      <c r="J425" s="103" t="s">
        <v>35</v>
      </c>
      <c r="K425" s="143">
        <f>(SUM(K414,K416,K419)/SUM($N414,$N416,$N419)*100)</f>
        <v>0</v>
      </c>
      <c r="L425" s="143">
        <v>1.17</v>
      </c>
      <c r="M425" s="143">
        <v>30.0</v>
      </c>
      <c r="N425" s="143">
        <f t="shared" ref="N425:O425" si="373">(SUM(N414,N416,N419)/SUM($N414,$N416,$N419)*100)</f>
        <v>100</v>
      </c>
      <c r="O425" s="143">
        <f t="shared" si="373"/>
        <v>0</v>
      </c>
      <c r="P425" s="42">
        <v>1.25</v>
      </c>
      <c r="Q425" s="42">
        <v>16.54</v>
      </c>
      <c r="R425" s="42">
        <v>100.0</v>
      </c>
      <c r="S425" s="46">
        <f t="shared" ref="S425:U425" si="374">IF(K425=0,0,IF((O425/K425*100)&gt;120,120,O425/K425*100))</f>
        <v>0</v>
      </c>
      <c r="T425" s="46">
        <f t="shared" si="374"/>
        <v>106.8376068</v>
      </c>
      <c r="U425" s="46">
        <f t="shared" si="374"/>
        <v>55.13333333</v>
      </c>
      <c r="V425" s="46">
        <f t="shared" ref="V425:Y425" si="375">IF($N425=0,0,IF((O425/$N425*100)&gt;120,120,O425/$N425*100))</f>
        <v>0</v>
      </c>
      <c r="W425" s="46">
        <f t="shared" si="375"/>
        <v>1.25</v>
      </c>
      <c r="X425" s="46">
        <f t="shared" si="375"/>
        <v>16.54</v>
      </c>
      <c r="Y425" s="46">
        <f t="shared" si="375"/>
        <v>100</v>
      </c>
    </row>
    <row r="426" ht="14.25" customHeight="1">
      <c r="B426" s="39"/>
      <c r="C426" s="39"/>
      <c r="D426" s="39"/>
      <c r="E426" s="39"/>
      <c r="F426" s="39"/>
      <c r="G426" s="39"/>
      <c r="H426" s="39"/>
      <c r="I426" s="39"/>
      <c r="J426" s="39"/>
      <c r="K426" s="39"/>
      <c r="L426" s="39"/>
      <c r="M426" s="39"/>
      <c r="N426" s="39"/>
      <c r="O426" s="39"/>
      <c r="P426" s="39"/>
      <c r="Q426" s="39"/>
      <c r="R426" s="39"/>
      <c r="S426" s="39"/>
      <c r="T426" s="39"/>
      <c r="U426" s="39"/>
      <c r="V426" s="39"/>
      <c r="W426" s="39"/>
      <c r="X426" s="39"/>
      <c r="Y426" s="39"/>
    </row>
    <row r="427" ht="14.25" customHeight="1">
      <c r="B427" s="351"/>
      <c r="C427" s="352"/>
      <c r="D427" s="353"/>
      <c r="E427" s="353"/>
      <c r="F427" s="353"/>
      <c r="G427" s="354" t="s">
        <v>421</v>
      </c>
      <c r="H427" s="353"/>
      <c r="I427" s="353"/>
      <c r="J427" s="353"/>
      <c r="K427" s="355"/>
      <c r="L427" s="355"/>
      <c r="M427" s="355"/>
      <c r="N427" s="355"/>
      <c r="O427" s="355"/>
      <c r="P427" s="355"/>
      <c r="Q427" s="355"/>
      <c r="R427" s="355"/>
      <c r="S427" s="356">
        <f t="shared" ref="S427:U427" si="376">IF(SUM(K404:K413,K425)&gt;0,SUM(S404:S413,S425)/SUM(COUNTIF(K404:K413,"&gt;0"),COUNTIF(K425,"&gt;0")),0)</f>
        <v>0</v>
      </c>
      <c r="T427" s="356">
        <f t="shared" si="376"/>
        <v>101.7020437</v>
      </c>
      <c r="U427" s="356">
        <f t="shared" si="376"/>
        <v>95.85555556</v>
      </c>
      <c r="V427" s="356">
        <f>SUM(V404:V425)</f>
        <v>0</v>
      </c>
      <c r="W427" s="356">
        <f t="shared" ref="W427:Y427" si="377">SUM(W404:W425)/6</f>
        <v>51.46381194</v>
      </c>
      <c r="X427" s="356">
        <f t="shared" si="377"/>
        <v>79.73128758</v>
      </c>
      <c r="Y427" s="356">
        <f t="shared" si="377"/>
        <v>100.7929339</v>
      </c>
    </row>
    <row r="428" ht="14.25" customHeight="1"/>
    <row r="429" ht="14.25" customHeight="1"/>
    <row r="430">
      <c r="B430" s="4" t="s">
        <v>422</v>
      </c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6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</row>
    <row r="431" ht="15.75" customHeight="1">
      <c r="B431" s="187" t="s">
        <v>2</v>
      </c>
      <c r="C431" s="8"/>
      <c r="D431" s="8"/>
      <c r="E431" s="8"/>
      <c r="F431" s="8"/>
      <c r="G431" s="8"/>
      <c r="H431" s="8"/>
      <c r="I431" s="343"/>
      <c r="J431" s="189" t="s">
        <v>3</v>
      </c>
      <c r="K431" s="11"/>
      <c r="L431" s="11"/>
      <c r="M431" s="11"/>
      <c r="N431" s="11"/>
      <c r="O431" s="11"/>
      <c r="P431" s="11"/>
      <c r="Q431" s="11"/>
      <c r="R431" s="12"/>
      <c r="S431" s="189" t="s">
        <v>4</v>
      </c>
      <c r="T431" s="11"/>
      <c r="U431" s="11"/>
      <c r="V431" s="11"/>
      <c r="W431" s="11"/>
      <c r="X431" s="11"/>
      <c r="Y431" s="12"/>
    </row>
    <row r="432" ht="14.25" customHeight="1">
      <c r="B432" s="13"/>
      <c r="I432" s="92"/>
      <c r="J432" s="190" t="s">
        <v>5</v>
      </c>
      <c r="K432" s="191" t="s">
        <v>62</v>
      </c>
      <c r="L432" s="17"/>
      <c r="M432" s="17"/>
      <c r="N432" s="18"/>
      <c r="O432" s="191" t="s">
        <v>63</v>
      </c>
      <c r="P432" s="17"/>
      <c r="Q432" s="17"/>
      <c r="R432" s="18"/>
      <c r="S432" s="191" t="s">
        <v>64</v>
      </c>
      <c r="T432" s="17"/>
      <c r="U432" s="18"/>
      <c r="V432" s="191" t="s">
        <v>9</v>
      </c>
      <c r="W432" s="17"/>
      <c r="X432" s="17"/>
      <c r="Y432" s="18"/>
    </row>
    <row r="433" ht="14.25" customHeight="1">
      <c r="B433" s="19"/>
      <c r="C433" s="20"/>
      <c r="D433" s="20"/>
      <c r="E433" s="20"/>
      <c r="F433" s="20"/>
      <c r="G433" s="20"/>
      <c r="H433" s="20"/>
      <c r="I433" s="21"/>
      <c r="J433" s="22"/>
      <c r="K433" s="192" t="s">
        <v>10</v>
      </c>
      <c r="L433" s="192" t="s">
        <v>11</v>
      </c>
      <c r="M433" s="192" t="s">
        <v>12</v>
      </c>
      <c r="N433" s="192" t="s">
        <v>13</v>
      </c>
      <c r="O433" s="192" t="s">
        <v>10</v>
      </c>
      <c r="P433" s="192" t="s">
        <v>11</v>
      </c>
      <c r="Q433" s="192" t="s">
        <v>12</v>
      </c>
      <c r="R433" s="192" t="s">
        <v>13</v>
      </c>
      <c r="S433" s="192" t="s">
        <v>10</v>
      </c>
      <c r="T433" s="192" t="s">
        <v>11</v>
      </c>
      <c r="U433" s="192" t="s">
        <v>12</v>
      </c>
      <c r="V433" s="192" t="s">
        <v>10</v>
      </c>
      <c r="W433" s="192" t="s">
        <v>11</v>
      </c>
      <c r="X433" s="192" t="s">
        <v>12</v>
      </c>
      <c r="Y433" s="192" t="s">
        <v>13</v>
      </c>
    </row>
    <row r="434" ht="14.25" customHeight="1">
      <c r="B434" s="194">
        <v>-1.0</v>
      </c>
      <c r="C434" s="27"/>
      <c r="D434" s="27"/>
      <c r="E434" s="27"/>
      <c r="F434" s="27"/>
      <c r="G434" s="27"/>
      <c r="H434" s="27"/>
      <c r="I434" s="344"/>
      <c r="J434" s="195">
        <v>-2.0</v>
      </c>
      <c r="K434" s="195">
        <v>-3.0</v>
      </c>
      <c r="L434" s="195">
        <v>-4.0</v>
      </c>
      <c r="M434" s="195">
        <v>-5.0</v>
      </c>
      <c r="N434" s="195">
        <v>-6.0</v>
      </c>
      <c r="O434" s="195">
        <v>-7.0</v>
      </c>
      <c r="P434" s="195">
        <v>-8.0</v>
      </c>
      <c r="Q434" s="195">
        <v>-9.0</v>
      </c>
      <c r="R434" s="195">
        <v>-10.0</v>
      </c>
      <c r="S434" s="195">
        <v>-11.0</v>
      </c>
      <c r="T434" s="195">
        <v>-12.0</v>
      </c>
      <c r="U434" s="195">
        <v>-13.0</v>
      </c>
      <c r="V434" s="195">
        <v>-14.0</v>
      </c>
      <c r="W434" s="195">
        <v>-15.0</v>
      </c>
      <c r="X434" s="195">
        <v>-16.0</v>
      </c>
      <c r="Y434" s="195">
        <v>-17.0</v>
      </c>
    </row>
    <row r="435" ht="14.25" customHeight="1">
      <c r="B435" s="35"/>
      <c r="C435" s="35"/>
      <c r="D435" s="35"/>
      <c r="E435" s="35"/>
      <c r="F435" s="35"/>
      <c r="G435" s="35"/>
      <c r="H435" s="35"/>
      <c r="I435" s="35"/>
      <c r="J435" s="35"/>
      <c r="K435" s="35"/>
      <c r="L435" s="35"/>
      <c r="M435" s="35"/>
      <c r="N435" s="35"/>
      <c r="O435" s="35"/>
      <c r="P435" s="35"/>
      <c r="Q435" s="35"/>
      <c r="R435" s="35"/>
      <c r="S435" s="35"/>
      <c r="T435" s="35"/>
      <c r="U435" s="35"/>
      <c r="V435" s="35"/>
      <c r="W435" s="35"/>
      <c r="X435" s="35"/>
      <c r="Y435" s="35"/>
    </row>
    <row r="436" ht="14.25" customHeight="1">
      <c r="B436" s="77" t="s">
        <v>423</v>
      </c>
      <c r="C436" s="77"/>
      <c r="D436" s="77"/>
      <c r="E436" s="77"/>
      <c r="F436" s="77"/>
      <c r="G436" s="77"/>
      <c r="H436" s="77"/>
      <c r="I436" s="159">
        <v>15.0</v>
      </c>
      <c r="J436" s="103" t="s">
        <v>85</v>
      </c>
      <c r="K436" s="39">
        <f t="shared" ref="K436:Q436" si="378">SUM(K437:K438)</f>
        <v>0</v>
      </c>
      <c r="L436" s="39">
        <f t="shared" si="378"/>
        <v>3</v>
      </c>
      <c r="M436" s="60">
        <f t="shared" si="378"/>
        <v>5</v>
      </c>
      <c r="N436" s="347">
        <f t="shared" si="378"/>
        <v>15</v>
      </c>
      <c r="O436" s="62">
        <f t="shared" si="378"/>
        <v>0</v>
      </c>
      <c r="P436" s="39">
        <f t="shared" si="378"/>
        <v>3</v>
      </c>
      <c r="Q436" s="39">
        <f t="shared" si="378"/>
        <v>5</v>
      </c>
      <c r="R436" s="39">
        <v>15.0</v>
      </c>
      <c r="S436" s="46">
        <f t="shared" ref="S436:U436" si="379">IF(K436=0,0,IF((O436/K436*100)&gt;120,120,O436/K436*100))</f>
        <v>0</v>
      </c>
      <c r="T436" s="46">
        <f t="shared" si="379"/>
        <v>100</v>
      </c>
      <c r="U436" s="46">
        <f t="shared" si="379"/>
        <v>100</v>
      </c>
      <c r="V436" s="46">
        <f t="shared" ref="V436:Y436" si="380">IF($N436=0,0,IF((O436/$N436*100)&gt;120,120,O436/$N436*100))</f>
        <v>0</v>
      </c>
      <c r="W436" s="46">
        <f t="shared" si="380"/>
        <v>20</v>
      </c>
      <c r="X436" s="46">
        <f t="shared" si="380"/>
        <v>33.33333333</v>
      </c>
      <c r="Y436" s="46">
        <f t="shared" si="380"/>
        <v>100</v>
      </c>
    </row>
    <row r="437" ht="14.25" customHeight="1">
      <c r="B437" s="77"/>
      <c r="C437" s="77" t="s">
        <v>424</v>
      </c>
      <c r="D437" s="77"/>
      <c r="E437" s="77"/>
      <c r="F437" s="77"/>
      <c r="G437" s="77"/>
      <c r="H437" s="77"/>
      <c r="I437" s="159">
        <v>15.0</v>
      </c>
      <c r="J437" s="110" t="s">
        <v>87</v>
      </c>
      <c r="K437" s="42">
        <v>0.0</v>
      </c>
      <c r="L437" s="42">
        <v>3.0</v>
      </c>
      <c r="M437" s="42">
        <v>5.0</v>
      </c>
      <c r="N437" s="42">
        <v>15.0</v>
      </c>
      <c r="O437" s="42">
        <v>0.0</v>
      </c>
      <c r="P437" s="42">
        <v>3.0</v>
      </c>
      <c r="Q437" s="42">
        <v>5.0</v>
      </c>
      <c r="R437" s="42">
        <v>15.0</v>
      </c>
      <c r="S437" s="46">
        <f t="shared" ref="S437:U437" si="381">IF(K437=0,0,IF((O437/K437*100)&gt;120,120,O437/K437*100))</f>
        <v>0</v>
      </c>
      <c r="T437" s="46">
        <f t="shared" si="381"/>
        <v>100</v>
      </c>
      <c r="U437" s="46">
        <f t="shared" si="381"/>
        <v>100</v>
      </c>
      <c r="V437" s="46">
        <f t="shared" ref="V437:Y437" si="382">IF($N437=0,0,IF((O437/$N437*100)&gt;120,120,O437/$N437*100))</f>
        <v>0</v>
      </c>
      <c r="W437" s="46">
        <f t="shared" si="382"/>
        <v>20</v>
      </c>
      <c r="X437" s="46">
        <f t="shared" si="382"/>
        <v>33.33333333</v>
      </c>
      <c r="Y437" s="46">
        <f t="shared" si="382"/>
        <v>100</v>
      </c>
    </row>
    <row r="438" ht="14.25" customHeight="1">
      <c r="B438" s="77"/>
      <c r="C438" s="77" t="s">
        <v>425</v>
      </c>
      <c r="D438" s="77"/>
      <c r="E438" s="77"/>
      <c r="F438" s="77"/>
      <c r="G438" s="77"/>
      <c r="H438" s="77"/>
      <c r="I438" s="159">
        <v>0.0</v>
      </c>
      <c r="J438" s="110" t="s">
        <v>66</v>
      </c>
      <c r="K438" s="42">
        <v>0.0</v>
      </c>
      <c r="L438" s="42">
        <v>0.0</v>
      </c>
      <c r="M438" s="42">
        <v>0.0</v>
      </c>
      <c r="N438" s="42">
        <v>0.0</v>
      </c>
      <c r="O438" s="42">
        <v>0.0</v>
      </c>
      <c r="P438" s="42">
        <v>0.0</v>
      </c>
      <c r="Q438" s="42">
        <v>0.0</v>
      </c>
      <c r="R438" s="42">
        <v>0.0</v>
      </c>
      <c r="S438" s="46">
        <f t="shared" ref="S438:U438" si="383">IF(K438=0,0,IF((O438/K438*100)&gt;120,120,O438/K438*100))</f>
        <v>0</v>
      </c>
      <c r="T438" s="46">
        <f t="shared" si="383"/>
        <v>0</v>
      </c>
      <c r="U438" s="46">
        <f t="shared" si="383"/>
        <v>0</v>
      </c>
      <c r="V438" s="46">
        <f t="shared" ref="V438:Y438" si="384">IF($N438=0,0,IF((O438/$N438*100)&gt;120,120,O438/$N438*100))</f>
        <v>0</v>
      </c>
      <c r="W438" s="46">
        <f t="shared" si="384"/>
        <v>0</v>
      </c>
      <c r="X438" s="46">
        <f t="shared" si="384"/>
        <v>0</v>
      </c>
      <c r="Y438" s="46">
        <f t="shared" si="384"/>
        <v>0</v>
      </c>
    </row>
    <row r="439" ht="14.25" customHeight="1">
      <c r="B439" s="77" t="s">
        <v>426</v>
      </c>
      <c r="C439" s="77"/>
      <c r="D439" s="77"/>
      <c r="E439" s="77"/>
      <c r="F439" s="77"/>
      <c r="G439" s="77"/>
      <c r="H439" s="77"/>
      <c r="I439" s="159">
        <v>5.0</v>
      </c>
      <c r="J439" s="103" t="s">
        <v>85</v>
      </c>
      <c r="K439" s="39">
        <f t="shared" ref="K439:Q439" si="385">SUM(K440:K441)</f>
        <v>0</v>
      </c>
      <c r="L439" s="39">
        <f t="shared" si="385"/>
        <v>0</v>
      </c>
      <c r="M439" s="60">
        <f t="shared" si="385"/>
        <v>1</v>
      </c>
      <c r="N439" s="347">
        <f t="shared" si="385"/>
        <v>5</v>
      </c>
      <c r="O439" s="62">
        <f t="shared" si="385"/>
        <v>0</v>
      </c>
      <c r="P439" s="39">
        <f t="shared" si="385"/>
        <v>0</v>
      </c>
      <c r="Q439" s="39">
        <f t="shared" si="385"/>
        <v>1</v>
      </c>
      <c r="R439" s="39">
        <v>5.0</v>
      </c>
      <c r="S439" s="46">
        <f t="shared" ref="S439:U439" si="386">IF(K439=0,0,IF((O439/K439*100)&gt;120,120,O439/K439*100))</f>
        <v>0</v>
      </c>
      <c r="T439" s="46">
        <f t="shared" si="386"/>
        <v>0</v>
      </c>
      <c r="U439" s="46">
        <f t="shared" si="386"/>
        <v>100</v>
      </c>
      <c r="V439" s="46">
        <f t="shared" ref="V439:Y439" si="387">IF($N439=0,0,IF((O439/$N439*100)&gt;120,120,O439/$N439*100))</f>
        <v>0</v>
      </c>
      <c r="W439" s="46">
        <f t="shared" si="387"/>
        <v>0</v>
      </c>
      <c r="X439" s="46">
        <f t="shared" si="387"/>
        <v>20</v>
      </c>
      <c r="Y439" s="46">
        <f t="shared" si="387"/>
        <v>100</v>
      </c>
    </row>
    <row r="440" ht="14.25" customHeight="1">
      <c r="B440" s="77"/>
      <c r="C440" s="77" t="s">
        <v>427</v>
      </c>
      <c r="D440" s="77"/>
      <c r="E440" s="77"/>
      <c r="F440" s="77"/>
      <c r="G440" s="77"/>
      <c r="H440" s="77"/>
      <c r="I440" s="159">
        <v>5.0</v>
      </c>
      <c r="J440" s="110" t="s">
        <v>87</v>
      </c>
      <c r="K440" s="42">
        <v>0.0</v>
      </c>
      <c r="L440" s="42">
        <v>0.0</v>
      </c>
      <c r="M440" s="42">
        <v>1.0</v>
      </c>
      <c r="N440" s="42">
        <v>5.0</v>
      </c>
      <c r="O440" s="42">
        <v>0.0</v>
      </c>
      <c r="P440" s="42">
        <v>0.0</v>
      </c>
      <c r="Q440" s="42">
        <v>1.0</v>
      </c>
      <c r="R440" s="42">
        <v>5.0</v>
      </c>
      <c r="S440" s="46">
        <f t="shared" ref="S440:U440" si="388">IF(K440=0,0,IF((O440/K440*100)&gt;120,120,O440/K440*100))</f>
        <v>0</v>
      </c>
      <c r="T440" s="46">
        <f t="shared" si="388"/>
        <v>0</v>
      </c>
      <c r="U440" s="46">
        <f t="shared" si="388"/>
        <v>100</v>
      </c>
      <c r="V440" s="46">
        <f t="shared" ref="V440:Y440" si="389">IF($N440=0,0,IF((O440/$N440*100)&gt;120,120,O440/$N440*100))</f>
        <v>0</v>
      </c>
      <c r="W440" s="46">
        <f t="shared" si="389"/>
        <v>0</v>
      </c>
      <c r="X440" s="46">
        <f t="shared" si="389"/>
        <v>20</v>
      </c>
      <c r="Y440" s="46">
        <f t="shared" si="389"/>
        <v>100</v>
      </c>
    </row>
    <row r="441" ht="14.25" customHeight="1">
      <c r="B441" s="77"/>
      <c r="C441" s="77" t="s">
        <v>428</v>
      </c>
      <c r="D441" s="77"/>
      <c r="E441" s="77"/>
      <c r="F441" s="77"/>
      <c r="G441" s="77"/>
      <c r="H441" s="77"/>
      <c r="I441" s="159">
        <v>0.0</v>
      </c>
      <c r="J441" s="110" t="s">
        <v>66</v>
      </c>
      <c r="K441" s="42">
        <v>0.0</v>
      </c>
      <c r="L441" s="42">
        <v>0.0</v>
      </c>
      <c r="M441" s="42">
        <v>0.0</v>
      </c>
      <c r="N441" s="42">
        <v>0.0</v>
      </c>
      <c r="O441" s="42">
        <v>0.0</v>
      </c>
      <c r="P441" s="42">
        <v>0.0</v>
      </c>
      <c r="Q441" s="42">
        <v>0.0</v>
      </c>
      <c r="R441" s="42">
        <v>0.0</v>
      </c>
      <c r="S441" s="46">
        <f t="shared" ref="S441:U441" si="390">IF(K441=0,0,IF((O441/K441*100)&gt;120,120,O441/K441*100))</f>
        <v>0</v>
      </c>
      <c r="T441" s="46">
        <f t="shared" si="390"/>
        <v>0</v>
      </c>
      <c r="U441" s="46">
        <f t="shared" si="390"/>
        <v>0</v>
      </c>
      <c r="V441" s="46">
        <f t="shared" ref="V441:Y441" si="391">IF($N441=0,0,IF((O441/$N441*100)&gt;120,120,O441/$N441*100))</f>
        <v>0</v>
      </c>
      <c r="W441" s="46">
        <f t="shared" si="391"/>
        <v>0</v>
      </c>
      <c r="X441" s="46">
        <f t="shared" si="391"/>
        <v>0</v>
      </c>
      <c r="Y441" s="46">
        <f t="shared" si="391"/>
        <v>0</v>
      </c>
    </row>
    <row r="442" ht="14.25" customHeight="1">
      <c r="B442" s="77" t="s">
        <v>429</v>
      </c>
      <c r="C442" s="77"/>
      <c r="D442" s="77"/>
      <c r="E442" s="77"/>
      <c r="F442" s="77"/>
      <c r="G442" s="77"/>
      <c r="H442" s="77"/>
      <c r="I442" s="159">
        <v>9.0</v>
      </c>
      <c r="J442" s="103" t="s">
        <v>87</v>
      </c>
      <c r="K442" s="42">
        <v>0.0</v>
      </c>
      <c r="L442" s="42">
        <v>3.0</v>
      </c>
      <c r="M442" s="42">
        <v>5.0</v>
      </c>
      <c r="N442" s="42">
        <v>9.0</v>
      </c>
      <c r="O442" s="42">
        <v>0.0</v>
      </c>
      <c r="P442" s="42">
        <v>3.0</v>
      </c>
      <c r="Q442" s="42">
        <v>5.0</v>
      </c>
      <c r="R442" s="42">
        <v>9.0</v>
      </c>
      <c r="S442" s="46">
        <f t="shared" ref="S442:U442" si="392">IF(K442=0,0,IF((O442/K442*100)&gt;120,120,O442/K442*100))</f>
        <v>0</v>
      </c>
      <c r="T442" s="46">
        <f t="shared" si="392"/>
        <v>100</v>
      </c>
      <c r="U442" s="46">
        <f t="shared" si="392"/>
        <v>100</v>
      </c>
      <c r="V442" s="46">
        <f t="shared" ref="V442:Y442" si="393">IF($N442=0,0,IF((O442/$N442*100)&gt;120,120,O442/$N442*100))</f>
        <v>0</v>
      </c>
      <c r="W442" s="46">
        <f t="shared" si="393"/>
        <v>33.33333333</v>
      </c>
      <c r="X442" s="46">
        <f t="shared" si="393"/>
        <v>55.55555556</v>
      </c>
      <c r="Y442" s="46">
        <f t="shared" si="393"/>
        <v>100</v>
      </c>
    </row>
    <row r="443" ht="14.25" customHeight="1">
      <c r="B443" s="77" t="s">
        <v>430</v>
      </c>
      <c r="C443" s="77"/>
      <c r="D443" s="77"/>
      <c r="E443" s="77"/>
      <c r="F443" s="77"/>
      <c r="G443" s="77"/>
      <c r="H443" s="77"/>
      <c r="I443" s="159">
        <v>2.0</v>
      </c>
      <c r="J443" s="103" t="s">
        <v>95</v>
      </c>
      <c r="K443" s="42">
        <v>1.0</v>
      </c>
      <c r="L443" s="42">
        <v>1.0</v>
      </c>
      <c r="M443" s="42">
        <v>1.0</v>
      </c>
      <c r="N443" s="42">
        <v>2.0</v>
      </c>
      <c r="O443" s="42">
        <v>1.0</v>
      </c>
      <c r="P443" s="42">
        <v>1.0</v>
      </c>
      <c r="Q443" s="42">
        <v>1.0</v>
      </c>
      <c r="R443" s="42">
        <v>2.0</v>
      </c>
      <c r="S443" s="46">
        <f t="shared" ref="S443:U443" si="394">IF(K443=0,0,IF((O443/K443*100)&gt;120,120,O443/K443*100))</f>
        <v>100</v>
      </c>
      <c r="T443" s="46">
        <f t="shared" si="394"/>
        <v>100</v>
      </c>
      <c r="U443" s="46">
        <f t="shared" si="394"/>
        <v>100</v>
      </c>
      <c r="V443" s="46">
        <f t="shared" ref="V443:Y443" si="395">IF($N443=0,0,IF((O443/$N443*100)&gt;120,120,O443/$N443*100))</f>
        <v>50</v>
      </c>
      <c r="W443" s="46">
        <f t="shared" si="395"/>
        <v>50</v>
      </c>
      <c r="X443" s="46">
        <f t="shared" si="395"/>
        <v>50</v>
      </c>
      <c r="Y443" s="46">
        <f t="shared" si="395"/>
        <v>100</v>
      </c>
    </row>
    <row r="444" ht="14.25" customHeight="1">
      <c r="B444" s="39"/>
      <c r="C444" s="39"/>
      <c r="D444" s="39"/>
      <c r="E444" s="39"/>
      <c r="F444" s="39"/>
      <c r="G444" s="39"/>
      <c r="H444" s="39"/>
      <c r="I444" s="39"/>
      <c r="J444" s="39"/>
      <c r="K444" s="39"/>
      <c r="L444" s="39"/>
      <c r="M444" s="39"/>
      <c r="N444" s="39"/>
      <c r="O444" s="39"/>
      <c r="P444" s="39"/>
      <c r="Q444" s="39"/>
      <c r="R444" s="39"/>
      <c r="S444" s="39"/>
      <c r="T444" s="39"/>
      <c r="U444" s="39"/>
      <c r="V444" s="39"/>
      <c r="W444" s="39"/>
      <c r="X444" s="39"/>
      <c r="Y444" s="39"/>
    </row>
    <row r="445" ht="14.25" customHeight="1">
      <c r="B445" s="351"/>
      <c r="C445" s="352"/>
      <c r="D445" s="353"/>
      <c r="E445" s="353"/>
      <c r="F445" s="353"/>
      <c r="G445" s="354" t="s">
        <v>431</v>
      </c>
      <c r="H445" s="353"/>
      <c r="I445" s="353"/>
      <c r="J445" s="353"/>
      <c r="K445" s="355"/>
      <c r="L445" s="355"/>
      <c r="M445" s="355"/>
      <c r="N445" s="355"/>
      <c r="O445" s="355"/>
      <c r="P445" s="355"/>
      <c r="Q445" s="355"/>
      <c r="R445" s="355"/>
      <c r="S445" s="356">
        <f t="shared" ref="S445:U445" si="396">IF(SUM(K435:K444)&gt;0,SUM(S435:S444)/COUNTIF(K435:K444,"&gt;0"),0)</f>
        <v>100</v>
      </c>
      <c r="T445" s="356">
        <f t="shared" si="396"/>
        <v>100</v>
      </c>
      <c r="U445" s="356">
        <f t="shared" si="396"/>
        <v>100</v>
      </c>
      <c r="V445" s="356">
        <f>SUM(V435:V443)/1</f>
        <v>50</v>
      </c>
      <c r="W445" s="356">
        <f>SUM(W435:W443)/4</f>
        <v>30.83333333</v>
      </c>
      <c r="X445" s="356">
        <f t="shared" ref="X445:Y445" si="397">SUM(X435:X443)/6</f>
        <v>35.37037037</v>
      </c>
      <c r="Y445" s="356">
        <f t="shared" si="397"/>
        <v>100</v>
      </c>
    </row>
    <row r="446" ht="14.25" customHeight="1"/>
    <row r="447" ht="14.25" customHeight="1"/>
    <row r="448">
      <c r="B448" s="4" t="s">
        <v>432</v>
      </c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6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</row>
    <row r="449" ht="15.75" customHeight="1">
      <c r="B449" s="215" t="s">
        <v>2</v>
      </c>
      <c r="C449" s="8"/>
      <c r="D449" s="8"/>
      <c r="E449" s="8"/>
      <c r="F449" s="8"/>
      <c r="G449" s="8"/>
      <c r="H449" s="8"/>
      <c r="I449" s="216"/>
      <c r="J449" s="217" t="s">
        <v>3</v>
      </c>
      <c r="K449" s="11"/>
      <c r="L449" s="11"/>
      <c r="M449" s="11"/>
      <c r="N449" s="11"/>
      <c r="O449" s="11"/>
      <c r="P449" s="11"/>
      <c r="Q449" s="11"/>
      <c r="R449" s="12"/>
      <c r="S449" s="217" t="s">
        <v>4</v>
      </c>
      <c r="T449" s="11"/>
      <c r="U449" s="11"/>
      <c r="V449" s="11"/>
      <c r="W449" s="11"/>
      <c r="X449" s="11"/>
      <c r="Y449" s="12"/>
    </row>
    <row r="450" ht="14.25" customHeight="1">
      <c r="B450" s="13"/>
      <c r="I450" s="92"/>
      <c r="J450" s="218" t="s">
        <v>5</v>
      </c>
      <c r="K450" s="219" t="s">
        <v>62</v>
      </c>
      <c r="L450" s="17"/>
      <c r="M450" s="17"/>
      <c r="N450" s="18"/>
      <c r="O450" s="219" t="s">
        <v>63</v>
      </c>
      <c r="P450" s="17"/>
      <c r="Q450" s="17"/>
      <c r="R450" s="18"/>
      <c r="S450" s="219" t="s">
        <v>64</v>
      </c>
      <c r="T450" s="17"/>
      <c r="U450" s="18"/>
      <c r="V450" s="219" t="s">
        <v>9</v>
      </c>
      <c r="W450" s="17"/>
      <c r="X450" s="17"/>
      <c r="Y450" s="18"/>
    </row>
    <row r="451" ht="14.25" customHeight="1">
      <c r="B451" s="19"/>
      <c r="C451" s="20"/>
      <c r="D451" s="20"/>
      <c r="E451" s="20"/>
      <c r="F451" s="20"/>
      <c r="G451" s="20"/>
      <c r="H451" s="20"/>
      <c r="I451" s="21"/>
      <c r="J451" s="22"/>
      <c r="K451" s="220" t="s">
        <v>10</v>
      </c>
      <c r="L451" s="220" t="s">
        <v>11</v>
      </c>
      <c r="M451" s="220" t="s">
        <v>12</v>
      </c>
      <c r="N451" s="220" t="s">
        <v>13</v>
      </c>
      <c r="O451" s="220" t="s">
        <v>10</v>
      </c>
      <c r="P451" s="220" t="s">
        <v>11</v>
      </c>
      <c r="Q451" s="220" t="s">
        <v>12</v>
      </c>
      <c r="R451" s="220" t="s">
        <v>13</v>
      </c>
      <c r="S451" s="220" t="s">
        <v>10</v>
      </c>
      <c r="T451" s="220" t="s">
        <v>11</v>
      </c>
      <c r="U451" s="220" t="s">
        <v>12</v>
      </c>
      <c r="V451" s="220" t="s">
        <v>10</v>
      </c>
      <c r="W451" s="220" t="s">
        <v>11</v>
      </c>
      <c r="X451" s="220" t="s">
        <v>12</v>
      </c>
      <c r="Y451" s="220" t="s">
        <v>13</v>
      </c>
    </row>
    <row r="452" ht="14.25" customHeight="1">
      <c r="B452" s="222">
        <v>-1.0</v>
      </c>
      <c r="C452" s="27"/>
      <c r="D452" s="27"/>
      <c r="E452" s="27"/>
      <c r="F452" s="27"/>
      <c r="G452" s="27"/>
      <c r="H452" s="27"/>
      <c r="I452" s="223"/>
      <c r="J452" s="224">
        <v>-2.0</v>
      </c>
      <c r="K452" s="224">
        <v>-3.0</v>
      </c>
      <c r="L452" s="224">
        <v>-4.0</v>
      </c>
      <c r="M452" s="224">
        <v>-5.0</v>
      </c>
      <c r="N452" s="224">
        <v>-6.0</v>
      </c>
      <c r="O452" s="224">
        <v>-7.0</v>
      </c>
      <c r="P452" s="224">
        <v>-8.0</v>
      </c>
      <c r="Q452" s="224">
        <v>-9.0</v>
      </c>
      <c r="R452" s="224">
        <v>-10.0</v>
      </c>
      <c r="S452" s="224">
        <v>-11.0</v>
      </c>
      <c r="T452" s="224">
        <v>-12.0</v>
      </c>
      <c r="U452" s="224">
        <v>-13.0</v>
      </c>
      <c r="V452" s="224">
        <v>-14.0</v>
      </c>
      <c r="W452" s="224">
        <v>-15.0</v>
      </c>
      <c r="X452" s="224">
        <v>-16.0</v>
      </c>
      <c r="Y452" s="224">
        <v>-17.0</v>
      </c>
    </row>
    <row r="453" ht="14.25" customHeight="1">
      <c r="B453" s="35"/>
      <c r="C453" s="35"/>
      <c r="D453" s="35"/>
      <c r="E453" s="35"/>
      <c r="F453" s="35"/>
      <c r="G453" s="35"/>
      <c r="H453" s="35"/>
      <c r="I453" s="35"/>
      <c r="J453" s="35"/>
      <c r="K453" s="35"/>
      <c r="L453" s="35"/>
      <c r="M453" s="35"/>
      <c r="N453" s="35"/>
      <c r="O453" s="35"/>
      <c r="P453" s="35"/>
      <c r="Q453" s="35"/>
      <c r="R453" s="35"/>
      <c r="S453" s="35"/>
      <c r="T453" s="35"/>
      <c r="U453" s="35"/>
      <c r="V453" s="35"/>
      <c r="W453" s="35"/>
      <c r="X453" s="35"/>
      <c r="Y453" s="35"/>
    </row>
    <row r="454" ht="14.25" customHeight="1">
      <c r="B454" s="39" t="s">
        <v>149</v>
      </c>
      <c r="C454" s="77"/>
      <c r="D454" s="77"/>
      <c r="E454" s="77"/>
      <c r="F454" s="77"/>
      <c r="G454" s="77"/>
      <c r="H454" s="77"/>
      <c r="I454" s="77"/>
      <c r="J454" s="103" t="s">
        <v>98</v>
      </c>
      <c r="K454" s="42"/>
      <c r="L454" s="42"/>
      <c r="M454" s="42"/>
      <c r="N454" s="358"/>
      <c r="O454" s="42"/>
      <c r="P454" s="42"/>
      <c r="Q454" s="42"/>
      <c r="R454" s="42"/>
      <c r="S454" s="46">
        <f t="shared" ref="S454:U454" si="398">IF(K454=0,0,IF((O454/K454*100)&gt;120,120,O454/K454*100))</f>
        <v>0</v>
      </c>
      <c r="T454" s="46">
        <f t="shared" si="398"/>
        <v>0</v>
      </c>
      <c r="U454" s="46">
        <f t="shared" si="398"/>
        <v>0</v>
      </c>
      <c r="V454" s="46">
        <f t="shared" ref="V454:Y454" si="399">IF($N454=0,0,IF((O454/$N454*100)&gt;120,120,O454/$N454*100))</f>
        <v>0</v>
      </c>
      <c r="W454" s="46">
        <f t="shared" si="399"/>
        <v>0</v>
      </c>
      <c r="X454" s="46">
        <f t="shared" si="399"/>
        <v>0</v>
      </c>
      <c r="Y454" s="46">
        <f t="shared" si="399"/>
        <v>0</v>
      </c>
    </row>
    <row r="455" ht="14.25" customHeight="1">
      <c r="B455" s="39" t="s">
        <v>150</v>
      </c>
      <c r="C455" s="77"/>
      <c r="D455" s="77"/>
      <c r="E455" s="77"/>
      <c r="F455" s="77"/>
      <c r="G455" s="77"/>
      <c r="H455" s="77"/>
      <c r="I455" s="77"/>
      <c r="J455" s="103" t="s">
        <v>98</v>
      </c>
      <c r="K455" s="42"/>
      <c r="L455" s="42"/>
      <c r="M455" s="42"/>
      <c r="N455" s="359"/>
      <c r="O455" s="42"/>
      <c r="P455" s="42"/>
      <c r="Q455" s="42"/>
      <c r="R455" s="42"/>
      <c r="S455" s="46">
        <f t="shared" ref="S455:U455" si="400">IF(K455=0,0,IF((O455/K455*100)&gt;120,120,O455/K455*100))</f>
        <v>0</v>
      </c>
      <c r="T455" s="46">
        <f t="shared" si="400"/>
        <v>0</v>
      </c>
      <c r="U455" s="46">
        <f t="shared" si="400"/>
        <v>0</v>
      </c>
      <c r="V455" s="46">
        <f t="shared" ref="V455:Y455" si="401">IF($N455=0,0,IF((O455/$N455*100)&gt;120,120,O455/$N455*100))</f>
        <v>0</v>
      </c>
      <c r="W455" s="46">
        <f t="shared" si="401"/>
        <v>0</v>
      </c>
      <c r="X455" s="46">
        <f t="shared" si="401"/>
        <v>0</v>
      </c>
      <c r="Y455" s="46">
        <f t="shared" si="401"/>
        <v>0</v>
      </c>
    </row>
    <row r="456" ht="14.25" customHeight="1">
      <c r="B456" s="39" t="s">
        <v>152</v>
      </c>
      <c r="C456" s="77"/>
      <c r="D456" s="77"/>
      <c r="E456" s="77"/>
      <c r="F456" s="77"/>
      <c r="G456" s="77"/>
      <c r="H456" s="77"/>
      <c r="I456" s="77">
        <v>100.0</v>
      </c>
      <c r="J456" s="103" t="s">
        <v>35</v>
      </c>
      <c r="K456" s="42">
        <v>25.0</v>
      </c>
      <c r="L456" s="42">
        <v>50.0</v>
      </c>
      <c r="M456" s="42">
        <v>75.0</v>
      </c>
      <c r="N456" s="359">
        <v>100.0</v>
      </c>
      <c r="O456" s="42">
        <v>25.0</v>
      </c>
      <c r="P456" s="42">
        <v>42.0</v>
      </c>
      <c r="Q456" s="42">
        <v>75.0</v>
      </c>
      <c r="R456" s="42">
        <v>100.0</v>
      </c>
      <c r="S456" s="46">
        <f t="shared" ref="S456:U456" si="402">IF(K456=0,0,IF((O456/K456*100)&gt;120,120,O456/K456*100))</f>
        <v>100</v>
      </c>
      <c r="T456" s="46">
        <f t="shared" si="402"/>
        <v>84</v>
      </c>
      <c r="U456" s="46">
        <f t="shared" si="402"/>
        <v>100</v>
      </c>
      <c r="V456" s="46">
        <f t="shared" ref="V456:Y456" si="403">IF($N456=0,0,IF((O456/$N456*100)&gt;120,120,O456/$N456*100))</f>
        <v>25</v>
      </c>
      <c r="W456" s="46">
        <f t="shared" si="403"/>
        <v>42</v>
      </c>
      <c r="X456" s="46">
        <f t="shared" si="403"/>
        <v>75</v>
      </c>
      <c r="Y456" s="46">
        <f t="shared" si="403"/>
        <v>100</v>
      </c>
    </row>
    <row r="457" ht="14.25" customHeight="1">
      <c r="B457" s="39" t="s">
        <v>153</v>
      </c>
      <c r="C457" s="77"/>
      <c r="D457" s="77"/>
      <c r="E457" s="77"/>
      <c r="F457" s="77"/>
      <c r="G457" s="77"/>
      <c r="H457" s="77"/>
      <c r="I457" s="77">
        <v>2.0</v>
      </c>
      <c r="J457" s="103" t="s">
        <v>85</v>
      </c>
      <c r="K457" s="42"/>
      <c r="L457" s="42">
        <v>1.0</v>
      </c>
      <c r="M457" s="42">
        <v>1.0</v>
      </c>
      <c r="N457" s="359">
        <v>2.0</v>
      </c>
      <c r="O457" s="42">
        <v>0.0</v>
      </c>
      <c r="P457" s="42">
        <v>0.0</v>
      </c>
      <c r="Q457" s="42">
        <v>1.0</v>
      </c>
      <c r="R457" s="42">
        <v>2.0</v>
      </c>
      <c r="S457" s="46">
        <f t="shared" ref="S457:U457" si="404">IF(K457=0,0,IF((O457/K457*100)&gt;120,120,O457/K457*100))</f>
        <v>0</v>
      </c>
      <c r="T457" s="46">
        <f t="shared" si="404"/>
        <v>0</v>
      </c>
      <c r="U457" s="46">
        <f t="shared" si="404"/>
        <v>100</v>
      </c>
      <c r="V457" s="46">
        <f t="shared" ref="V457:Y457" si="405">IF($N457=0,0,IF((O457/$N457*100)&gt;120,120,O457/$N457*100))</f>
        <v>0</v>
      </c>
      <c r="W457" s="46">
        <f t="shared" si="405"/>
        <v>0</v>
      </c>
      <c r="X457" s="46">
        <f t="shared" si="405"/>
        <v>50</v>
      </c>
      <c r="Y457" s="46">
        <f t="shared" si="405"/>
        <v>100</v>
      </c>
    </row>
    <row r="458" ht="14.25" customHeight="1">
      <c r="B458" s="77"/>
      <c r="C458" s="77"/>
      <c r="D458" s="77"/>
      <c r="E458" s="77"/>
      <c r="F458" s="77"/>
      <c r="G458" s="77"/>
      <c r="H458" s="77"/>
      <c r="I458" s="77"/>
      <c r="J458" s="77"/>
      <c r="K458" s="77"/>
      <c r="L458" s="77"/>
      <c r="M458" s="77"/>
      <c r="N458" s="77"/>
      <c r="O458" s="77"/>
      <c r="P458" s="77"/>
      <c r="Q458" s="77"/>
      <c r="R458" s="77"/>
      <c r="S458" s="77"/>
      <c r="T458" s="77"/>
      <c r="U458" s="77"/>
      <c r="V458" s="77"/>
      <c r="W458" s="77"/>
      <c r="X458" s="77"/>
      <c r="Y458" s="77"/>
    </row>
    <row r="459" ht="14.25" customHeight="1">
      <c r="B459" s="360"/>
      <c r="C459" s="361"/>
      <c r="D459" s="362"/>
      <c r="E459" s="362"/>
      <c r="F459" s="362"/>
      <c r="G459" s="363" t="s">
        <v>433</v>
      </c>
      <c r="H459" s="362"/>
      <c r="I459" s="362"/>
      <c r="J459" s="362"/>
      <c r="K459" s="364"/>
      <c r="L459" s="364"/>
      <c r="M459" s="364"/>
      <c r="N459" s="364"/>
      <c r="O459" s="364"/>
      <c r="P459" s="364"/>
      <c r="Q459" s="364"/>
      <c r="R459" s="364"/>
      <c r="S459" s="365">
        <f t="shared" ref="S459:U459" si="406">IF(SUM(K456:K457)&gt;0,SUM(S456:S457)/COUNTIF(K456:K457,"&gt;0"),0)</f>
        <v>100</v>
      </c>
      <c r="T459" s="365">
        <f t="shared" si="406"/>
        <v>42</v>
      </c>
      <c r="U459" s="365">
        <f t="shared" si="406"/>
        <v>100</v>
      </c>
      <c r="V459" s="365">
        <f>SUM(V453:V456)/1</f>
        <v>25</v>
      </c>
      <c r="W459" s="365">
        <f>SUM(W453:W457)/1</f>
        <v>42</v>
      </c>
      <c r="X459" s="365">
        <f t="shared" ref="X459:Y459" si="407">SUM(X453:X457)/2</f>
        <v>62.5</v>
      </c>
      <c r="Y459" s="365">
        <f t="shared" si="407"/>
        <v>100</v>
      </c>
    </row>
    <row r="460" ht="14.25" customHeight="1"/>
    <row r="461" ht="14.25" customHeight="1"/>
    <row r="462">
      <c r="B462" s="4" t="s">
        <v>434</v>
      </c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6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</row>
    <row r="463" ht="15.75" customHeight="1">
      <c r="B463" s="215" t="s">
        <v>2</v>
      </c>
      <c r="C463" s="8"/>
      <c r="D463" s="8"/>
      <c r="E463" s="8"/>
      <c r="F463" s="8"/>
      <c r="G463" s="8"/>
      <c r="H463" s="8"/>
      <c r="I463" s="216"/>
      <c r="J463" s="217" t="s">
        <v>3</v>
      </c>
      <c r="K463" s="11"/>
      <c r="L463" s="11"/>
      <c r="M463" s="11"/>
      <c r="N463" s="11"/>
      <c r="O463" s="11"/>
      <c r="P463" s="11"/>
      <c r="Q463" s="11"/>
      <c r="R463" s="12"/>
      <c r="S463" s="217" t="s">
        <v>4</v>
      </c>
      <c r="T463" s="11"/>
      <c r="U463" s="11"/>
      <c r="V463" s="11"/>
      <c r="W463" s="11"/>
      <c r="X463" s="11"/>
      <c r="Y463" s="12"/>
    </row>
    <row r="464" ht="14.25" customHeight="1">
      <c r="B464" s="13"/>
      <c r="I464" s="92"/>
      <c r="J464" s="218" t="s">
        <v>5</v>
      </c>
      <c r="K464" s="219" t="s">
        <v>62</v>
      </c>
      <c r="L464" s="17"/>
      <c r="M464" s="17"/>
      <c r="N464" s="18"/>
      <c r="O464" s="219" t="s">
        <v>63</v>
      </c>
      <c r="P464" s="17"/>
      <c r="Q464" s="17"/>
      <c r="R464" s="18"/>
      <c r="S464" s="219" t="s">
        <v>64</v>
      </c>
      <c r="T464" s="17"/>
      <c r="U464" s="18"/>
      <c r="V464" s="219" t="s">
        <v>9</v>
      </c>
      <c r="W464" s="17"/>
      <c r="X464" s="17"/>
      <c r="Y464" s="18"/>
    </row>
    <row r="465" ht="14.25" customHeight="1">
      <c r="B465" s="19"/>
      <c r="C465" s="20"/>
      <c r="D465" s="20"/>
      <c r="E465" s="20"/>
      <c r="F465" s="20"/>
      <c r="G465" s="20"/>
      <c r="H465" s="20"/>
      <c r="I465" s="21"/>
      <c r="J465" s="22"/>
      <c r="K465" s="220" t="s">
        <v>10</v>
      </c>
      <c r="L465" s="220" t="s">
        <v>11</v>
      </c>
      <c r="M465" s="220" t="s">
        <v>12</v>
      </c>
      <c r="N465" s="220" t="s">
        <v>13</v>
      </c>
      <c r="O465" s="220" t="s">
        <v>10</v>
      </c>
      <c r="P465" s="220" t="s">
        <v>11</v>
      </c>
      <c r="Q465" s="220" t="s">
        <v>12</v>
      </c>
      <c r="R465" s="220" t="s">
        <v>13</v>
      </c>
      <c r="S465" s="220" t="s">
        <v>10</v>
      </c>
      <c r="T465" s="220" t="s">
        <v>11</v>
      </c>
      <c r="U465" s="220" t="s">
        <v>12</v>
      </c>
      <c r="V465" s="220" t="s">
        <v>10</v>
      </c>
      <c r="W465" s="220" t="s">
        <v>11</v>
      </c>
      <c r="X465" s="220" t="s">
        <v>12</v>
      </c>
      <c r="Y465" s="220" t="s">
        <v>13</v>
      </c>
    </row>
    <row r="466" ht="14.25" customHeight="1">
      <c r="B466" s="222">
        <v>-1.0</v>
      </c>
      <c r="C466" s="27"/>
      <c r="D466" s="27"/>
      <c r="E466" s="27"/>
      <c r="F466" s="27"/>
      <c r="G466" s="27"/>
      <c r="H466" s="27"/>
      <c r="I466" s="223"/>
      <c r="J466" s="224">
        <v>-2.0</v>
      </c>
      <c r="K466" s="224">
        <v>-3.0</v>
      </c>
      <c r="L466" s="224">
        <v>-4.0</v>
      </c>
      <c r="M466" s="224">
        <v>-5.0</v>
      </c>
      <c r="N466" s="224">
        <v>-6.0</v>
      </c>
      <c r="O466" s="224">
        <v>-7.0</v>
      </c>
      <c r="P466" s="224">
        <v>-8.0</v>
      </c>
      <c r="Q466" s="224">
        <v>-9.0</v>
      </c>
      <c r="R466" s="224">
        <v>-10.0</v>
      </c>
      <c r="S466" s="224">
        <v>-11.0</v>
      </c>
      <c r="T466" s="224">
        <v>-12.0</v>
      </c>
      <c r="U466" s="224">
        <v>-13.0</v>
      </c>
      <c r="V466" s="224">
        <v>-14.0</v>
      </c>
      <c r="W466" s="224">
        <v>-15.0</v>
      </c>
      <c r="X466" s="224">
        <v>-16.0</v>
      </c>
      <c r="Y466" s="224">
        <v>-17.0</v>
      </c>
    </row>
    <row r="467" ht="14.25" customHeight="1">
      <c r="B467" s="35"/>
      <c r="C467" s="35"/>
      <c r="D467" s="35"/>
      <c r="E467" s="35"/>
      <c r="F467" s="35"/>
      <c r="G467" s="35"/>
      <c r="H467" s="35"/>
      <c r="I467" s="35"/>
      <c r="J467" s="35"/>
      <c r="K467" s="35"/>
      <c r="L467" s="35"/>
      <c r="M467" s="35"/>
      <c r="N467" s="35"/>
      <c r="O467" s="35"/>
      <c r="P467" s="35"/>
      <c r="Q467" s="35"/>
      <c r="R467" s="35"/>
      <c r="S467" s="35"/>
      <c r="T467" s="35"/>
      <c r="U467" s="35"/>
      <c r="V467" s="35"/>
      <c r="W467" s="35"/>
      <c r="X467" s="35"/>
      <c r="Y467" s="35"/>
    </row>
    <row r="468" ht="14.25" customHeight="1">
      <c r="B468" s="39" t="s">
        <v>149</v>
      </c>
      <c r="C468" s="77"/>
      <c r="D468" s="77"/>
      <c r="E468" s="77"/>
      <c r="F468" s="77"/>
      <c r="G468" s="77"/>
      <c r="H468" s="77"/>
      <c r="I468" s="77">
        <v>1562.0</v>
      </c>
      <c r="J468" s="103" t="s">
        <v>98</v>
      </c>
      <c r="K468" s="42">
        <v>0.0</v>
      </c>
      <c r="L468" s="42">
        <v>0.0</v>
      </c>
      <c r="M468" s="42">
        <v>1562.0</v>
      </c>
      <c r="N468" s="358">
        <v>1562.0</v>
      </c>
      <c r="O468" s="42">
        <v>0.0</v>
      </c>
      <c r="P468" s="42">
        <v>0.0</v>
      </c>
      <c r="Q468" s="42">
        <v>1562.0</v>
      </c>
      <c r="R468" s="42">
        <v>1562.0</v>
      </c>
      <c r="S468" s="46">
        <f t="shared" ref="S468:U468" si="408">IF(K468=0,0,IF((O468/K468*100)&gt;120,120,O468/K468*100))</f>
        <v>0</v>
      </c>
      <c r="T468" s="46">
        <f t="shared" si="408"/>
        <v>0</v>
      </c>
      <c r="U468" s="46">
        <f t="shared" si="408"/>
        <v>100</v>
      </c>
      <c r="V468" s="46">
        <f t="shared" ref="V468:Y468" si="409">IF($N468=0,0,IF((O468/$N468*100)&gt;120,120,O468/$N468*100))</f>
        <v>0</v>
      </c>
      <c r="W468" s="46">
        <f t="shared" si="409"/>
        <v>0</v>
      </c>
      <c r="X468" s="46">
        <f t="shared" si="409"/>
        <v>100</v>
      </c>
      <c r="Y468" s="46">
        <f t="shared" si="409"/>
        <v>100</v>
      </c>
    </row>
    <row r="469" ht="14.25" customHeight="1">
      <c r="B469" s="39" t="s">
        <v>150</v>
      </c>
      <c r="C469" s="77"/>
      <c r="D469" s="77"/>
      <c r="E469" s="77"/>
      <c r="F469" s="77"/>
      <c r="G469" s="77"/>
      <c r="H469" s="77"/>
      <c r="I469" s="77">
        <v>15698.0</v>
      </c>
      <c r="J469" s="103" t="s">
        <v>98</v>
      </c>
      <c r="K469" s="42">
        <v>0.0</v>
      </c>
      <c r="L469" s="42">
        <v>0.0</v>
      </c>
      <c r="M469" s="42">
        <v>15698.0</v>
      </c>
      <c r="N469" s="359">
        <v>15698.0</v>
      </c>
      <c r="O469" s="42">
        <v>0.0</v>
      </c>
      <c r="P469" s="42">
        <v>0.0</v>
      </c>
      <c r="Q469" s="42">
        <v>15698.0</v>
      </c>
      <c r="R469" s="42">
        <v>15698.0</v>
      </c>
      <c r="S469" s="46">
        <f t="shared" ref="S469:U469" si="410">IF(K469=0,0,IF((O469/K469*100)&gt;120,120,O469/K469*100))</f>
        <v>0</v>
      </c>
      <c r="T469" s="46">
        <f t="shared" si="410"/>
        <v>0</v>
      </c>
      <c r="U469" s="46">
        <f t="shared" si="410"/>
        <v>100</v>
      </c>
      <c r="V469" s="46">
        <f t="shared" ref="V469:Y469" si="411">IF($N469=0,0,IF((O469/$N469*100)&gt;120,120,O469/$N469*100))</f>
        <v>0</v>
      </c>
      <c r="W469" s="46">
        <f t="shared" si="411"/>
        <v>0</v>
      </c>
      <c r="X469" s="46">
        <f t="shared" si="411"/>
        <v>100</v>
      </c>
      <c r="Y469" s="46">
        <f t="shared" si="411"/>
        <v>100</v>
      </c>
    </row>
    <row r="470" ht="14.25" customHeight="1">
      <c r="B470" s="39" t="s">
        <v>153</v>
      </c>
      <c r="C470" s="77"/>
      <c r="D470" s="77"/>
      <c r="E470" s="77"/>
      <c r="F470" s="77"/>
      <c r="G470" s="77"/>
      <c r="H470" s="77"/>
      <c r="I470" s="77">
        <v>2.0</v>
      </c>
      <c r="J470" s="103" t="s">
        <v>85</v>
      </c>
      <c r="K470" s="42">
        <v>0.0</v>
      </c>
      <c r="L470" s="42">
        <v>1.0</v>
      </c>
      <c r="M470" s="42">
        <v>1.0</v>
      </c>
      <c r="N470" s="359">
        <v>2.0</v>
      </c>
      <c r="O470" s="42">
        <v>0.0</v>
      </c>
      <c r="P470" s="42">
        <v>1.0</v>
      </c>
      <c r="Q470" s="42">
        <v>1.0</v>
      </c>
      <c r="R470" s="42">
        <v>2.0</v>
      </c>
      <c r="S470" s="46">
        <f t="shared" ref="S470:U470" si="412">IF(K470=0,0,IF((O470/K470*100)&gt;120,120,O470/K470*100))</f>
        <v>0</v>
      </c>
      <c r="T470" s="46">
        <f t="shared" si="412"/>
        <v>100</v>
      </c>
      <c r="U470" s="46">
        <f t="shared" si="412"/>
        <v>100</v>
      </c>
      <c r="V470" s="46">
        <f t="shared" ref="V470:Y470" si="413">IF($N470=0,0,IF((O470/$N470*100)&gt;120,120,O470/$N470*100))</f>
        <v>0</v>
      </c>
      <c r="W470" s="46">
        <f t="shared" si="413"/>
        <v>50</v>
      </c>
      <c r="X470" s="46">
        <f t="shared" si="413"/>
        <v>50</v>
      </c>
      <c r="Y470" s="46">
        <f t="shared" si="413"/>
        <v>100</v>
      </c>
    </row>
    <row r="471" ht="14.25" customHeight="1">
      <c r="B471" s="39"/>
      <c r="C471" s="39"/>
      <c r="D471" s="39"/>
      <c r="E471" s="39"/>
      <c r="F471" s="39"/>
      <c r="G471" s="39"/>
      <c r="H471" s="39"/>
      <c r="I471" s="39"/>
      <c r="J471" s="39"/>
      <c r="K471" s="39"/>
      <c r="L471" s="39"/>
      <c r="M471" s="39"/>
      <c r="N471" s="39"/>
      <c r="O471" s="39"/>
      <c r="P471" s="39"/>
      <c r="Q471" s="39"/>
      <c r="R471" s="39"/>
      <c r="S471" s="39"/>
      <c r="T471" s="39"/>
      <c r="U471" s="39"/>
      <c r="V471" s="39"/>
      <c r="W471" s="39"/>
      <c r="X471" s="39"/>
      <c r="Y471" s="39"/>
    </row>
    <row r="472" ht="14.25" customHeight="1">
      <c r="B472" s="360"/>
      <c r="C472" s="361"/>
      <c r="D472" s="362"/>
      <c r="E472" s="362"/>
      <c r="F472" s="362"/>
      <c r="G472" s="363" t="s">
        <v>435</v>
      </c>
      <c r="H472" s="362"/>
      <c r="I472" s="362"/>
      <c r="J472" s="362"/>
      <c r="K472" s="364"/>
      <c r="L472" s="364"/>
      <c r="M472" s="364"/>
      <c r="N472" s="364"/>
      <c r="O472" s="364"/>
      <c r="P472" s="364"/>
      <c r="Q472" s="364"/>
      <c r="R472" s="364"/>
      <c r="S472" s="365">
        <f t="shared" ref="S472:U472" si="414">IF(SUM(K467:K471)&gt;0,SUM(S467:S471)/COUNTIF(K467:K471,"&gt;0"),0)</f>
        <v>0</v>
      </c>
      <c r="T472" s="365">
        <f t="shared" si="414"/>
        <v>100</v>
      </c>
      <c r="U472" s="365">
        <f t="shared" si="414"/>
        <v>100</v>
      </c>
      <c r="V472" s="365">
        <f>SUM(V468:V470)</f>
        <v>0</v>
      </c>
      <c r="W472" s="365">
        <f t="shared" ref="W472:Y472" si="415">SUM(W467:W470)/3</f>
        <v>16.66666667</v>
      </c>
      <c r="X472" s="365">
        <f t="shared" si="415"/>
        <v>83.33333333</v>
      </c>
      <c r="Y472" s="365">
        <f t="shared" si="415"/>
        <v>100</v>
      </c>
    </row>
    <row r="473" ht="14.25" customHeight="1"/>
    <row r="474" ht="14.25" customHeight="1"/>
    <row r="475" ht="14.25" customHeight="1">
      <c r="B475" s="4" t="s">
        <v>436</v>
      </c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6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</row>
    <row r="476" ht="15.75" customHeight="1">
      <c r="B476" s="215" t="s">
        <v>2</v>
      </c>
      <c r="C476" s="8"/>
      <c r="D476" s="8"/>
      <c r="E476" s="8"/>
      <c r="F476" s="8"/>
      <c r="G476" s="8"/>
      <c r="H476" s="8"/>
      <c r="I476" s="216"/>
      <c r="J476" s="217" t="s">
        <v>3</v>
      </c>
      <c r="K476" s="11"/>
      <c r="L476" s="11"/>
      <c r="M476" s="11"/>
      <c r="N476" s="11"/>
      <c r="O476" s="11"/>
      <c r="P476" s="11"/>
      <c r="Q476" s="11"/>
      <c r="R476" s="12"/>
      <c r="S476" s="217" t="s">
        <v>4</v>
      </c>
      <c r="T476" s="11"/>
      <c r="U476" s="11"/>
      <c r="V476" s="11"/>
      <c r="W476" s="11"/>
      <c r="X476" s="11"/>
      <c r="Y476" s="12"/>
    </row>
    <row r="477" ht="14.25" customHeight="1">
      <c r="B477" s="13"/>
      <c r="I477" s="92"/>
      <c r="J477" s="218" t="s">
        <v>5</v>
      </c>
      <c r="K477" s="219" t="s">
        <v>62</v>
      </c>
      <c r="L477" s="17"/>
      <c r="M477" s="17"/>
      <c r="N477" s="18"/>
      <c r="O477" s="219" t="s">
        <v>63</v>
      </c>
      <c r="P477" s="17"/>
      <c r="Q477" s="17"/>
      <c r="R477" s="18"/>
      <c r="S477" s="219" t="s">
        <v>64</v>
      </c>
      <c r="T477" s="17"/>
      <c r="U477" s="18"/>
      <c r="V477" s="219" t="s">
        <v>9</v>
      </c>
      <c r="W477" s="17"/>
      <c r="X477" s="17"/>
      <c r="Y477" s="18"/>
    </row>
    <row r="478" ht="14.25" customHeight="1">
      <c r="B478" s="19"/>
      <c r="C478" s="20"/>
      <c r="D478" s="20"/>
      <c r="E478" s="20"/>
      <c r="F478" s="20"/>
      <c r="G478" s="20"/>
      <c r="H478" s="20"/>
      <c r="I478" s="21"/>
      <c r="J478" s="22"/>
      <c r="K478" s="220" t="s">
        <v>10</v>
      </c>
      <c r="L478" s="220" t="s">
        <v>11</v>
      </c>
      <c r="M478" s="220" t="s">
        <v>12</v>
      </c>
      <c r="N478" s="220" t="s">
        <v>13</v>
      </c>
      <c r="O478" s="220" t="s">
        <v>10</v>
      </c>
      <c r="P478" s="220" t="s">
        <v>11</v>
      </c>
      <c r="Q478" s="220" t="s">
        <v>12</v>
      </c>
      <c r="R478" s="220" t="s">
        <v>13</v>
      </c>
      <c r="S478" s="220" t="s">
        <v>10</v>
      </c>
      <c r="T478" s="220" t="s">
        <v>11</v>
      </c>
      <c r="U478" s="220" t="s">
        <v>12</v>
      </c>
      <c r="V478" s="220" t="s">
        <v>10</v>
      </c>
      <c r="W478" s="220" t="s">
        <v>11</v>
      </c>
      <c r="X478" s="220" t="s">
        <v>12</v>
      </c>
      <c r="Y478" s="220" t="s">
        <v>13</v>
      </c>
    </row>
    <row r="479" ht="14.25" customHeight="1">
      <c r="B479" s="222">
        <v>-1.0</v>
      </c>
      <c r="C479" s="27"/>
      <c r="D479" s="27"/>
      <c r="E479" s="27"/>
      <c r="F479" s="27"/>
      <c r="G479" s="27"/>
      <c r="H479" s="27"/>
      <c r="I479" s="223"/>
      <c r="J479" s="224">
        <v>-2.0</v>
      </c>
      <c r="K479" s="224">
        <v>-3.0</v>
      </c>
      <c r="L479" s="224">
        <v>-4.0</v>
      </c>
      <c r="M479" s="224">
        <v>-5.0</v>
      </c>
      <c r="N479" s="224">
        <v>-6.0</v>
      </c>
      <c r="O479" s="224">
        <v>-7.0</v>
      </c>
      <c r="P479" s="224">
        <v>-8.0</v>
      </c>
      <c r="Q479" s="224">
        <v>-9.0</v>
      </c>
      <c r="R479" s="224">
        <v>-10.0</v>
      </c>
      <c r="S479" s="224">
        <v>-11.0</v>
      </c>
      <c r="T479" s="224">
        <v>-12.0</v>
      </c>
      <c r="U479" s="224">
        <v>-13.0</v>
      </c>
      <c r="V479" s="224">
        <v>-14.0</v>
      </c>
      <c r="W479" s="224">
        <v>-15.0</v>
      </c>
      <c r="X479" s="224">
        <v>-16.0</v>
      </c>
      <c r="Y479" s="224">
        <v>-17.0</v>
      </c>
    </row>
    <row r="480" ht="14.25" customHeight="1">
      <c r="B480" s="35"/>
      <c r="C480" s="35"/>
      <c r="D480" s="35"/>
      <c r="E480" s="35"/>
      <c r="F480" s="35"/>
      <c r="G480" s="35"/>
      <c r="H480" s="35"/>
      <c r="I480" s="35"/>
      <c r="J480" s="35"/>
      <c r="K480" s="35"/>
      <c r="L480" s="35"/>
      <c r="M480" s="35"/>
      <c r="N480" s="35"/>
      <c r="O480" s="35"/>
      <c r="P480" s="35"/>
      <c r="Q480" s="35"/>
      <c r="R480" s="35"/>
      <c r="S480" s="35"/>
      <c r="T480" s="35"/>
      <c r="U480" s="35"/>
      <c r="V480" s="35"/>
      <c r="W480" s="35"/>
      <c r="X480" s="35"/>
      <c r="Y480" s="35"/>
    </row>
    <row r="481" ht="14.25" customHeight="1">
      <c r="B481" s="39" t="s">
        <v>151</v>
      </c>
      <c r="C481" s="77"/>
      <c r="D481" s="77"/>
      <c r="E481" s="77"/>
      <c r="F481" s="77"/>
      <c r="G481" s="77"/>
      <c r="H481" s="77"/>
      <c r="I481" s="77">
        <v>100.0</v>
      </c>
      <c r="J481" s="103" t="s">
        <v>35</v>
      </c>
      <c r="K481" s="253">
        <v>0.0</v>
      </c>
      <c r="L481" s="253">
        <v>0.0</v>
      </c>
      <c r="M481" s="253">
        <v>60.0</v>
      </c>
      <c r="N481" s="366">
        <v>100.0</v>
      </c>
      <c r="O481" s="253">
        <v>0.0</v>
      </c>
      <c r="P481" s="253">
        <v>52.86</v>
      </c>
      <c r="Q481" s="253">
        <v>100.0</v>
      </c>
      <c r="R481" s="42"/>
      <c r="S481" s="46">
        <f t="shared" ref="S481:U481" si="416">IF(K481=0,0,IF((O481/K481*100)&gt;120,120,O481/K481*100))</f>
        <v>0</v>
      </c>
      <c r="T481" s="46">
        <f t="shared" si="416"/>
        <v>0</v>
      </c>
      <c r="U481" s="46">
        <f t="shared" si="416"/>
        <v>120</v>
      </c>
      <c r="V481" s="46">
        <f t="shared" ref="V481:Y481" si="417">IF($N481=0,0,IF((O481/$N481*100)&gt;120,120,O481/$N481*100))</f>
        <v>0</v>
      </c>
      <c r="W481" s="46">
        <f t="shared" si="417"/>
        <v>52.86</v>
      </c>
      <c r="X481" s="46">
        <f t="shared" si="417"/>
        <v>100</v>
      </c>
      <c r="Y481" s="46">
        <f t="shared" si="417"/>
        <v>0</v>
      </c>
    </row>
    <row r="482" ht="14.25" customHeight="1">
      <c r="B482" s="39" t="s">
        <v>153</v>
      </c>
      <c r="C482" s="77"/>
      <c r="D482" s="77"/>
      <c r="E482" s="77"/>
      <c r="F482" s="77"/>
      <c r="G482" s="77"/>
      <c r="H482" s="77"/>
      <c r="I482" s="77">
        <v>42.0</v>
      </c>
      <c r="J482" s="103" t="s">
        <v>85</v>
      </c>
      <c r="K482" s="253">
        <v>5.0</v>
      </c>
      <c r="L482" s="367">
        <v>17.0</v>
      </c>
      <c r="M482" s="253">
        <v>26.0</v>
      </c>
      <c r="N482" s="366">
        <v>42.0</v>
      </c>
      <c r="O482" s="253">
        <v>5.0</v>
      </c>
      <c r="P482" s="367">
        <v>17.0</v>
      </c>
      <c r="Q482" s="253">
        <v>26.0</v>
      </c>
      <c r="R482" s="42"/>
      <c r="S482" s="46">
        <f t="shared" ref="S482:U482" si="418">IF(K482=0,0,IF((O482/K482*100)&gt;120,120,O482/K482*100))</f>
        <v>100</v>
      </c>
      <c r="T482" s="46">
        <f t="shared" si="418"/>
        <v>100</v>
      </c>
      <c r="U482" s="46">
        <f t="shared" si="418"/>
        <v>100</v>
      </c>
      <c r="V482" s="46">
        <f t="shared" ref="V482:Y482" si="419">IF($N482=0,0,IF((O482/$N482*100)&gt;120,120,O482/$N482*100))</f>
        <v>11.9047619</v>
      </c>
      <c r="W482" s="46">
        <f t="shared" si="419"/>
        <v>40.47619048</v>
      </c>
      <c r="X482" s="46">
        <f t="shared" si="419"/>
        <v>61.9047619</v>
      </c>
      <c r="Y482" s="46">
        <f t="shared" si="419"/>
        <v>0</v>
      </c>
    </row>
    <row r="483" ht="14.25" customHeight="1">
      <c r="B483" s="39" t="s">
        <v>154</v>
      </c>
      <c r="C483" s="77"/>
      <c r="D483" s="77"/>
      <c r="E483" s="77"/>
      <c r="F483" s="77"/>
      <c r="G483" s="77"/>
      <c r="H483" s="77"/>
      <c r="I483" s="77">
        <v>8.0</v>
      </c>
      <c r="J483" s="103" t="s">
        <v>155</v>
      </c>
      <c r="K483" s="253">
        <v>1.0</v>
      </c>
      <c r="L483" s="253">
        <v>3.0</v>
      </c>
      <c r="M483" s="253">
        <v>5.0</v>
      </c>
      <c r="N483" s="366">
        <v>8.0</v>
      </c>
      <c r="O483" s="253">
        <v>1.0</v>
      </c>
      <c r="P483" s="253">
        <v>4.0</v>
      </c>
      <c r="Q483" s="253">
        <v>6.0</v>
      </c>
      <c r="R483" s="42"/>
      <c r="S483" s="46">
        <f t="shared" ref="S483:U483" si="420">IF(K483=0,0,IF((O483/K483*100)&gt;120,120,O483/K483*100))</f>
        <v>100</v>
      </c>
      <c r="T483" s="46">
        <f t="shared" si="420"/>
        <v>120</v>
      </c>
      <c r="U483" s="46">
        <f t="shared" si="420"/>
        <v>120</v>
      </c>
      <c r="V483" s="46">
        <f t="shared" ref="V483:Y483" si="421">IF($N483=0,0,IF((O483/$N483*100)&gt;120,120,O483/$N483*100))</f>
        <v>12.5</v>
      </c>
      <c r="W483" s="46">
        <f t="shared" si="421"/>
        <v>50</v>
      </c>
      <c r="X483" s="46">
        <f t="shared" si="421"/>
        <v>75</v>
      </c>
      <c r="Y483" s="46">
        <f t="shared" si="421"/>
        <v>0</v>
      </c>
    </row>
    <row r="484" ht="14.25" customHeight="1">
      <c r="B484" s="39" t="s">
        <v>156</v>
      </c>
      <c r="C484" s="77"/>
      <c r="D484" s="77"/>
      <c r="E484" s="77"/>
      <c r="F484" s="77"/>
      <c r="G484" s="77"/>
      <c r="H484" s="77"/>
      <c r="I484" s="77">
        <v>8.0</v>
      </c>
      <c r="J484" s="103" t="s">
        <v>155</v>
      </c>
      <c r="K484" s="253">
        <v>0.0</v>
      </c>
      <c r="L484" s="253">
        <v>0.0</v>
      </c>
      <c r="M484" s="253">
        <v>0.0</v>
      </c>
      <c r="N484" s="366">
        <v>8.0</v>
      </c>
      <c r="O484" s="253">
        <v>0.0</v>
      </c>
      <c r="P484" s="253">
        <v>0.0</v>
      </c>
      <c r="Q484" s="253">
        <v>6.0</v>
      </c>
      <c r="R484" s="42"/>
      <c r="S484" s="46">
        <f t="shared" ref="S484:U484" si="422">IF(K484=0,0,IF((O484/K484*100)&gt;120,120,O484/K484*100))</f>
        <v>0</v>
      </c>
      <c r="T484" s="46">
        <f t="shared" si="422"/>
        <v>0</v>
      </c>
      <c r="U484" s="46">
        <f t="shared" si="422"/>
        <v>0</v>
      </c>
      <c r="V484" s="46">
        <f t="shared" ref="V484:Y484" si="423">IF($N484=0,0,IF((O484/$N484*100)&gt;120,120,O484/$N484*100))</f>
        <v>0</v>
      </c>
      <c r="W484" s="46">
        <f t="shared" si="423"/>
        <v>0</v>
      </c>
      <c r="X484" s="46">
        <f t="shared" si="423"/>
        <v>75</v>
      </c>
      <c r="Y484" s="46">
        <f t="shared" si="423"/>
        <v>0</v>
      </c>
    </row>
    <row r="485" ht="14.25" customHeight="1">
      <c r="B485" s="39" t="s">
        <v>157</v>
      </c>
      <c r="C485" s="77"/>
      <c r="D485" s="77"/>
      <c r="E485" s="77"/>
      <c r="F485" s="77"/>
      <c r="G485" s="77"/>
      <c r="H485" s="77"/>
      <c r="I485" s="270">
        <v>6.0</v>
      </c>
      <c r="J485" s="103" t="s">
        <v>158</v>
      </c>
      <c r="K485" s="253">
        <v>2.0</v>
      </c>
      <c r="L485" s="253">
        <v>3.0</v>
      </c>
      <c r="M485" s="253">
        <v>4.0</v>
      </c>
      <c r="N485" s="366">
        <v>6.0</v>
      </c>
      <c r="O485" s="253">
        <v>3.0</v>
      </c>
      <c r="P485" s="253">
        <v>11.0</v>
      </c>
      <c r="Q485" s="253">
        <v>18.0</v>
      </c>
      <c r="R485" s="42"/>
      <c r="S485" s="46">
        <f t="shared" ref="S485:U485" si="424">IF(K485=0,0,IF((O485/K485*100)&gt;120,120,O485/K485*100))</f>
        <v>120</v>
      </c>
      <c r="T485" s="46">
        <f t="shared" si="424"/>
        <v>120</v>
      </c>
      <c r="U485" s="46">
        <f t="shared" si="424"/>
        <v>120</v>
      </c>
      <c r="V485" s="46">
        <f t="shared" ref="V485:Y485" si="425">IF($N485=0,0,IF((O485/$N485*100)&gt;120,120,O485/$N485*100))</f>
        <v>50</v>
      </c>
      <c r="W485" s="46">
        <f t="shared" si="425"/>
        <v>120</v>
      </c>
      <c r="X485" s="46">
        <f t="shared" si="425"/>
        <v>120</v>
      </c>
      <c r="Y485" s="46">
        <f t="shared" si="425"/>
        <v>0</v>
      </c>
    </row>
    <row r="486" ht="14.25" customHeight="1">
      <c r="B486" s="39" t="s">
        <v>159</v>
      </c>
      <c r="C486" s="77"/>
      <c r="D486" s="77"/>
      <c r="E486" s="77"/>
      <c r="F486" s="77"/>
      <c r="G486" s="77"/>
      <c r="H486" s="77"/>
      <c r="I486" s="270">
        <v>18.0</v>
      </c>
      <c r="J486" s="103" t="s">
        <v>160</v>
      </c>
      <c r="K486" s="253">
        <v>0.0</v>
      </c>
      <c r="L486" s="253">
        <v>0.0</v>
      </c>
      <c r="M486" s="253">
        <v>0.0</v>
      </c>
      <c r="N486" s="366">
        <v>18.0</v>
      </c>
      <c r="O486" s="253">
        <v>0.0</v>
      </c>
      <c r="P486" s="253">
        <v>0.0</v>
      </c>
      <c r="Q486" s="253">
        <v>1.0</v>
      </c>
      <c r="R486" s="42"/>
      <c r="S486" s="46">
        <f t="shared" ref="S486:U486" si="426">IF(K486=0,0,IF((O486/K486*100)&gt;120,120,O486/K486*100))</f>
        <v>0</v>
      </c>
      <c r="T486" s="46">
        <f t="shared" si="426"/>
        <v>0</v>
      </c>
      <c r="U486" s="46">
        <f t="shared" si="426"/>
        <v>0</v>
      </c>
      <c r="V486" s="46">
        <f t="shared" ref="V486:Y486" si="427">IF($N486=0,0,IF((O486/$N486*100)&gt;120,120,O486/$N486*100))</f>
        <v>0</v>
      </c>
      <c r="W486" s="46">
        <f t="shared" si="427"/>
        <v>0</v>
      </c>
      <c r="X486" s="46">
        <f t="shared" si="427"/>
        <v>5.555555556</v>
      </c>
      <c r="Y486" s="46">
        <f t="shared" si="427"/>
        <v>0</v>
      </c>
    </row>
    <row r="487" ht="14.25" customHeight="1">
      <c r="B487" s="39" t="s">
        <v>161</v>
      </c>
      <c r="C487" s="77"/>
      <c r="D487" s="77"/>
      <c r="E487" s="77"/>
      <c r="F487" s="77"/>
      <c r="G487" s="77"/>
      <c r="H487" s="77"/>
      <c r="I487" s="77">
        <v>0.0</v>
      </c>
      <c r="J487" s="103" t="s">
        <v>160</v>
      </c>
      <c r="K487" s="253">
        <v>0.0</v>
      </c>
      <c r="L487" s="253">
        <v>0.0</v>
      </c>
      <c r="M487" s="253">
        <v>0.0</v>
      </c>
      <c r="N487" s="366">
        <v>0.0</v>
      </c>
      <c r="O487" s="253">
        <v>0.0</v>
      </c>
      <c r="P487" s="253">
        <v>0.0</v>
      </c>
      <c r="Q487" s="253">
        <v>0.0</v>
      </c>
      <c r="R487" s="42"/>
      <c r="S487" s="46">
        <f t="shared" ref="S487:U487" si="428">IF(K487=0,0,IF((O487/K487*100)&gt;120,120,O487/K487*100))</f>
        <v>0</v>
      </c>
      <c r="T487" s="46">
        <f t="shared" si="428"/>
        <v>0</v>
      </c>
      <c r="U487" s="46">
        <f t="shared" si="428"/>
        <v>0</v>
      </c>
      <c r="V487" s="46">
        <f t="shared" ref="V487:Y487" si="429">IF($N487=0,0,IF((O487/$N487*100)&gt;120,120,O487/$N487*100))</f>
        <v>0</v>
      </c>
      <c r="W487" s="46">
        <f t="shared" si="429"/>
        <v>0</v>
      </c>
      <c r="X487" s="46">
        <f t="shared" si="429"/>
        <v>0</v>
      </c>
      <c r="Y487" s="46">
        <f t="shared" si="429"/>
        <v>0</v>
      </c>
    </row>
    <row r="488" ht="14.25" customHeight="1">
      <c r="B488" s="39" t="s">
        <v>162</v>
      </c>
      <c r="C488" s="77"/>
      <c r="D488" s="77"/>
      <c r="E488" s="77"/>
      <c r="F488" s="77"/>
      <c r="G488" s="77"/>
      <c r="H488" s="77"/>
      <c r="I488" s="270">
        <v>93.0</v>
      </c>
      <c r="J488" s="103" t="s">
        <v>163</v>
      </c>
      <c r="K488" s="253">
        <v>0.0</v>
      </c>
      <c r="L488" s="253">
        <v>0.0</v>
      </c>
      <c r="M488" s="253">
        <v>0.0</v>
      </c>
      <c r="N488" s="366">
        <v>93.0</v>
      </c>
      <c r="O488" s="253">
        <v>0.0</v>
      </c>
      <c r="P488" s="253">
        <v>0.0</v>
      </c>
      <c r="Q488" s="253">
        <v>93.7</v>
      </c>
      <c r="R488" s="42"/>
      <c r="S488" s="46">
        <f t="shared" ref="S488:U488" si="430">IF(K488=0,0,IF((O488/K488*100)&gt;120,120,O488/K488*100))</f>
        <v>0</v>
      </c>
      <c r="T488" s="46">
        <f t="shared" si="430"/>
        <v>0</v>
      </c>
      <c r="U488" s="46">
        <f t="shared" si="430"/>
        <v>0</v>
      </c>
      <c r="V488" s="46">
        <f t="shared" ref="V488:Y488" si="431">IF($N488=0,0,IF((O488/$N488*100)&gt;120,120,O488/$N488*100))</f>
        <v>0</v>
      </c>
      <c r="W488" s="46">
        <f t="shared" si="431"/>
        <v>0</v>
      </c>
      <c r="X488" s="46">
        <f t="shared" si="431"/>
        <v>100.7526882</v>
      </c>
      <c r="Y488" s="46">
        <f t="shared" si="431"/>
        <v>0</v>
      </c>
    </row>
    <row r="489" ht="14.25" customHeight="1">
      <c r="B489" s="39" t="s">
        <v>164</v>
      </c>
      <c r="C489" s="77"/>
      <c r="D489" s="77"/>
      <c r="E489" s="77"/>
      <c r="F489" s="77"/>
      <c r="G489" s="77"/>
      <c r="H489" s="77"/>
      <c r="I489" s="270">
        <v>55000.0</v>
      </c>
      <c r="J489" s="103" t="s">
        <v>165</v>
      </c>
      <c r="K489" s="253">
        <v>3000.0</v>
      </c>
      <c r="L489" s="253">
        <v>4000.0</v>
      </c>
      <c r="M489" s="253">
        <v>5000.0</v>
      </c>
      <c r="N489" s="368">
        <v>7000.0</v>
      </c>
      <c r="O489" s="367">
        <v>25795.0</v>
      </c>
      <c r="P489" s="253">
        <v>49739.0</v>
      </c>
      <c r="Q489" s="253">
        <v>77333.0</v>
      </c>
      <c r="R489" s="42"/>
      <c r="S489" s="46">
        <f t="shared" ref="S489:U489" si="432">IF(K489=0,0,IF((O489/K489*100)&gt;120,120,O489/K489*100))</f>
        <v>120</v>
      </c>
      <c r="T489" s="46">
        <f t="shared" si="432"/>
        <v>120</v>
      </c>
      <c r="U489" s="46">
        <f t="shared" si="432"/>
        <v>120</v>
      </c>
      <c r="V489" s="46">
        <f t="shared" ref="V489:Y489" si="433">IF($N489=0,0,IF((O489/$N489*100)&gt;120,120,O489/$N489*100))</f>
        <v>120</v>
      </c>
      <c r="W489" s="46">
        <f t="shared" si="433"/>
        <v>120</v>
      </c>
      <c r="X489" s="46">
        <f t="shared" si="433"/>
        <v>120</v>
      </c>
      <c r="Y489" s="46">
        <f t="shared" si="433"/>
        <v>0</v>
      </c>
    </row>
    <row r="490" ht="14.25" customHeight="1">
      <c r="B490" s="39"/>
      <c r="C490" s="39"/>
      <c r="D490" s="39"/>
      <c r="E490" s="39"/>
      <c r="F490" s="39"/>
      <c r="G490" s="39"/>
      <c r="H490" s="39"/>
      <c r="I490" s="39"/>
      <c r="J490" s="39"/>
      <c r="K490" s="39"/>
      <c r="L490" s="39"/>
      <c r="M490" s="39"/>
      <c r="N490" s="39"/>
      <c r="O490" s="39"/>
      <c r="P490" s="39"/>
      <c r="Q490" s="39"/>
      <c r="R490" s="39"/>
      <c r="S490" s="39"/>
      <c r="T490" s="39"/>
      <c r="U490" s="39"/>
      <c r="V490" s="39"/>
      <c r="W490" s="39"/>
      <c r="X490" s="39"/>
      <c r="Y490" s="39"/>
    </row>
    <row r="491" ht="14.25" customHeight="1">
      <c r="B491" s="360"/>
      <c r="C491" s="361"/>
      <c r="D491" s="362"/>
      <c r="E491" s="362"/>
      <c r="F491" s="362"/>
      <c r="G491" s="363" t="s">
        <v>437</v>
      </c>
      <c r="H491" s="362"/>
      <c r="I491" s="362"/>
      <c r="J491" s="362"/>
      <c r="K491" s="364"/>
      <c r="L491" s="364"/>
      <c r="M491" s="364"/>
      <c r="N491" s="364"/>
      <c r="O491" s="364"/>
      <c r="P491" s="364"/>
      <c r="Q491" s="364"/>
      <c r="R491" s="364"/>
      <c r="S491" s="365">
        <f t="shared" ref="S491:U491" si="434">IF(SUM(K480:K490)&gt;0,SUM(S480:S490)/COUNTIF(K480:K490,"&gt;0"),0)</f>
        <v>110</v>
      </c>
      <c r="T491" s="365">
        <f t="shared" si="434"/>
        <v>115</v>
      </c>
      <c r="U491" s="365">
        <f t="shared" si="434"/>
        <v>116</v>
      </c>
      <c r="V491" s="365">
        <f>SUM(V480:V489)/3</f>
        <v>64.8015873</v>
      </c>
      <c r="W491" s="365">
        <f>SUM(W480:W489)/5</f>
        <v>76.6672381</v>
      </c>
      <c r="X491" s="365">
        <f>SUM(X480:X489)/7</f>
        <v>94.03042938</v>
      </c>
      <c r="Y491" s="365">
        <f>SUM(Y480:Y489)/8</f>
        <v>0</v>
      </c>
    </row>
    <row r="492" ht="14.25" customHeight="1">
      <c r="V492" s="244">
        <f>SUM(V481:V489)/3</f>
        <v>64.8015873</v>
      </c>
      <c r="W492" s="244">
        <f>SUM(W481:W489)/5</f>
        <v>76.6672381</v>
      </c>
      <c r="X492" s="244">
        <f>SUM(X481:X489)/7</f>
        <v>94.03042938</v>
      </c>
      <c r="Y492" s="244">
        <f>SUM(Y481:Y489)/8</f>
        <v>0</v>
      </c>
    </row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</sheetData>
  <mergeCells count="200">
    <mergeCell ref="S4:U4"/>
    <mergeCell ref="V4:Y4"/>
    <mergeCell ref="S16:Y16"/>
    <mergeCell ref="S17:U17"/>
    <mergeCell ref="V17:Y17"/>
    <mergeCell ref="S30:Y30"/>
    <mergeCell ref="S31:U31"/>
    <mergeCell ref="V31:Y31"/>
    <mergeCell ref="S44:Y44"/>
    <mergeCell ref="S45:U45"/>
    <mergeCell ref="V45:Y45"/>
    <mergeCell ref="S55:Y55"/>
    <mergeCell ref="S56:U56"/>
    <mergeCell ref="V56:Y56"/>
    <mergeCell ref="B58:H58"/>
    <mergeCell ref="B71:H73"/>
    <mergeCell ref="I71:I73"/>
    <mergeCell ref="J71:R71"/>
    <mergeCell ref="J72:J73"/>
    <mergeCell ref="K72:N72"/>
    <mergeCell ref="O72:R72"/>
    <mergeCell ref="B74:H74"/>
    <mergeCell ref="B97:H99"/>
    <mergeCell ref="I97:I99"/>
    <mergeCell ref="J97:R97"/>
    <mergeCell ref="J98:J99"/>
    <mergeCell ref="K98:N98"/>
    <mergeCell ref="O98:R98"/>
    <mergeCell ref="S121:U121"/>
    <mergeCell ref="V121:Y121"/>
    <mergeCell ref="B100:H100"/>
    <mergeCell ref="B120:H122"/>
    <mergeCell ref="I120:I122"/>
    <mergeCell ref="J120:R120"/>
    <mergeCell ref="J121:J122"/>
    <mergeCell ref="K121:N121"/>
    <mergeCell ref="O121:R121"/>
    <mergeCell ref="O149:R149"/>
    <mergeCell ref="S149:U149"/>
    <mergeCell ref="B123:H123"/>
    <mergeCell ref="I148:I150"/>
    <mergeCell ref="J148:R148"/>
    <mergeCell ref="S148:Y148"/>
    <mergeCell ref="J149:J150"/>
    <mergeCell ref="K149:N149"/>
    <mergeCell ref="V149:Y149"/>
    <mergeCell ref="B3:H5"/>
    <mergeCell ref="I3:I5"/>
    <mergeCell ref="J3:R3"/>
    <mergeCell ref="S3:Y3"/>
    <mergeCell ref="J4:J5"/>
    <mergeCell ref="K4:N4"/>
    <mergeCell ref="O4:R4"/>
    <mergeCell ref="B6:H6"/>
    <mergeCell ref="B16:H18"/>
    <mergeCell ref="I16:I18"/>
    <mergeCell ref="J16:R16"/>
    <mergeCell ref="J17:J18"/>
    <mergeCell ref="K17:N17"/>
    <mergeCell ref="O17:R17"/>
    <mergeCell ref="B19:H19"/>
    <mergeCell ref="B30:H32"/>
    <mergeCell ref="I30:I32"/>
    <mergeCell ref="J30:R30"/>
    <mergeCell ref="J31:J32"/>
    <mergeCell ref="K31:N31"/>
    <mergeCell ref="O31:R31"/>
    <mergeCell ref="B33:H33"/>
    <mergeCell ref="B44:H46"/>
    <mergeCell ref="I44:I46"/>
    <mergeCell ref="J44:R44"/>
    <mergeCell ref="J45:J46"/>
    <mergeCell ref="K45:N45"/>
    <mergeCell ref="O45:R45"/>
    <mergeCell ref="B47:H47"/>
    <mergeCell ref="B55:H57"/>
    <mergeCell ref="I55:I57"/>
    <mergeCell ref="J55:R55"/>
    <mergeCell ref="J56:J57"/>
    <mergeCell ref="K56:N56"/>
    <mergeCell ref="O56:R56"/>
    <mergeCell ref="S71:Y71"/>
    <mergeCell ref="S72:U72"/>
    <mergeCell ref="V72:Y72"/>
    <mergeCell ref="S97:Y97"/>
    <mergeCell ref="S98:U98"/>
    <mergeCell ref="V98:Y98"/>
    <mergeCell ref="S120:Y120"/>
    <mergeCell ref="S185:U185"/>
    <mergeCell ref="V185:Y185"/>
    <mergeCell ref="O323:R323"/>
    <mergeCell ref="J362:R362"/>
    <mergeCell ref="J287:R287"/>
    <mergeCell ref="J288:J289"/>
    <mergeCell ref="K288:N288"/>
    <mergeCell ref="O288:R288"/>
    <mergeCell ref="J322:R322"/>
    <mergeCell ref="J323:J324"/>
    <mergeCell ref="K323:N323"/>
    <mergeCell ref="B400:H402"/>
    <mergeCell ref="I400:I402"/>
    <mergeCell ref="J400:R400"/>
    <mergeCell ref="S400:Y400"/>
    <mergeCell ref="J401:J402"/>
    <mergeCell ref="K401:N401"/>
    <mergeCell ref="O401:R401"/>
    <mergeCell ref="B403:H403"/>
    <mergeCell ref="B431:H433"/>
    <mergeCell ref="I431:I433"/>
    <mergeCell ref="J431:R431"/>
    <mergeCell ref="J432:J433"/>
    <mergeCell ref="K432:N432"/>
    <mergeCell ref="O432:R432"/>
    <mergeCell ref="B434:H434"/>
    <mergeCell ref="B449:H451"/>
    <mergeCell ref="I449:I451"/>
    <mergeCell ref="J449:R449"/>
    <mergeCell ref="J450:J451"/>
    <mergeCell ref="K450:N450"/>
    <mergeCell ref="O450:R450"/>
    <mergeCell ref="V450:Y450"/>
    <mergeCell ref="S463:Y463"/>
    <mergeCell ref="S464:U464"/>
    <mergeCell ref="V464:Y464"/>
    <mergeCell ref="S476:Y476"/>
    <mergeCell ref="S477:U477"/>
    <mergeCell ref="V477:Y477"/>
    <mergeCell ref="S401:U401"/>
    <mergeCell ref="V401:Y401"/>
    <mergeCell ref="S431:Y431"/>
    <mergeCell ref="S432:U432"/>
    <mergeCell ref="V432:Y432"/>
    <mergeCell ref="S449:Y449"/>
    <mergeCell ref="S450:U450"/>
    <mergeCell ref="B466:H466"/>
    <mergeCell ref="B476:H478"/>
    <mergeCell ref="I476:I478"/>
    <mergeCell ref="J476:R476"/>
    <mergeCell ref="J477:J478"/>
    <mergeCell ref="K477:N477"/>
    <mergeCell ref="O477:R477"/>
    <mergeCell ref="B479:H479"/>
    <mergeCell ref="B452:H452"/>
    <mergeCell ref="B463:H465"/>
    <mergeCell ref="I463:I465"/>
    <mergeCell ref="J463:R463"/>
    <mergeCell ref="J464:J465"/>
    <mergeCell ref="K464:N464"/>
    <mergeCell ref="O464:R464"/>
    <mergeCell ref="B148:H150"/>
    <mergeCell ref="B151:H151"/>
    <mergeCell ref="B184:H186"/>
    <mergeCell ref="I184:I186"/>
    <mergeCell ref="J184:R184"/>
    <mergeCell ref="S184:Y184"/>
    <mergeCell ref="J185:J186"/>
    <mergeCell ref="B187:H187"/>
    <mergeCell ref="K185:N185"/>
    <mergeCell ref="O185:R185"/>
    <mergeCell ref="B220:H222"/>
    <mergeCell ref="I220:I222"/>
    <mergeCell ref="J220:R220"/>
    <mergeCell ref="S220:Y220"/>
    <mergeCell ref="J221:J222"/>
    <mergeCell ref="B223:H223"/>
    <mergeCell ref="K221:N221"/>
    <mergeCell ref="O221:R221"/>
    <mergeCell ref="I255:I257"/>
    <mergeCell ref="J255:R255"/>
    <mergeCell ref="J256:J257"/>
    <mergeCell ref="K256:N256"/>
    <mergeCell ref="O256:R256"/>
    <mergeCell ref="V288:Y288"/>
    <mergeCell ref="S322:Y322"/>
    <mergeCell ref="S323:U323"/>
    <mergeCell ref="V323:Y323"/>
    <mergeCell ref="S362:Y362"/>
    <mergeCell ref="S363:U363"/>
    <mergeCell ref="V363:Y363"/>
    <mergeCell ref="S221:U221"/>
    <mergeCell ref="V221:Y221"/>
    <mergeCell ref="S255:Y255"/>
    <mergeCell ref="S256:U256"/>
    <mergeCell ref="V256:Y256"/>
    <mergeCell ref="S287:Y287"/>
    <mergeCell ref="S288:U288"/>
    <mergeCell ref="B325:H325"/>
    <mergeCell ref="B362:H364"/>
    <mergeCell ref="I362:I364"/>
    <mergeCell ref="J363:J364"/>
    <mergeCell ref="K363:N363"/>
    <mergeCell ref="O363:R363"/>
    <mergeCell ref="B365:H365"/>
    <mergeCell ref="B255:H257"/>
    <mergeCell ref="B258:H258"/>
    <mergeCell ref="B287:H289"/>
    <mergeCell ref="I287:I289"/>
    <mergeCell ref="B290:H290"/>
    <mergeCell ref="B322:H324"/>
    <mergeCell ref="I322:I324"/>
  </mergeCells>
  <conditionalFormatting sqref="S21:U24 Y21:Y24 S60:U60 Y60 S102:U110 Y102:Y110 T125:U133 Y125:Y133 S126:S133 S468:U470 Y468:Y470 S482:U482 Y482">
    <cfRule type="cellIs" dxfId="0" priority="1" operator="lessThan">
      <formula>80</formula>
    </cfRule>
  </conditionalFormatting>
  <conditionalFormatting sqref="S21:U24 Y21:Y24 S60:U60 Y60 S102:U110 Y102:Y110 T125:U133 Y125:Y133 S126:S133 S468:U470 Y468:Y470 S482:U482 Y482">
    <cfRule type="cellIs" dxfId="1" priority="2" operator="between">
      <formula>80</formula>
      <formula>99.999</formula>
    </cfRule>
  </conditionalFormatting>
  <conditionalFormatting sqref="S21:U24 Y21:Y24 S60:U60 Y60 S102:U110 Y102:Y110 T125:U133 Y125:Y133 S126:S133 S468:U470 Y468:Y470 S482:U482 Y482">
    <cfRule type="cellIs" dxfId="2" priority="3" operator="greaterThanOrEqual">
      <formula>100</formula>
    </cfRule>
  </conditionalFormatting>
  <conditionalFormatting sqref="S142:U142 Y142">
    <cfRule type="cellIs" dxfId="0" priority="4" operator="lessThan">
      <formula>80</formula>
    </cfRule>
  </conditionalFormatting>
  <conditionalFormatting sqref="S142:U142 Y142">
    <cfRule type="cellIs" dxfId="1" priority="5" operator="between">
      <formula>80</formula>
      <formula>99.999</formula>
    </cfRule>
  </conditionalFormatting>
  <conditionalFormatting sqref="S142:U142 Y142">
    <cfRule type="cellIs" dxfId="2" priority="6" operator="greaterThanOrEqual">
      <formula>100</formula>
    </cfRule>
  </conditionalFormatting>
  <conditionalFormatting sqref="S76:U85 Y76:Y85">
    <cfRule type="cellIs" dxfId="0" priority="7" operator="lessThan">
      <formula>80</formula>
    </cfRule>
  </conditionalFormatting>
  <conditionalFormatting sqref="S76:U85 Y76:Y85">
    <cfRule type="cellIs" dxfId="1" priority="8" operator="between">
      <formula>80</formula>
      <formula>99.999</formula>
    </cfRule>
  </conditionalFormatting>
  <conditionalFormatting sqref="S76:U85 Y76:Y85">
    <cfRule type="cellIs" dxfId="2" priority="9" operator="greaterThanOrEqual">
      <formula>100</formula>
    </cfRule>
  </conditionalFormatting>
  <conditionalFormatting sqref="S91:U91 Y91">
    <cfRule type="cellIs" dxfId="0" priority="10" operator="lessThan">
      <formula>80</formula>
    </cfRule>
  </conditionalFormatting>
  <conditionalFormatting sqref="S91:U91 Y91">
    <cfRule type="cellIs" dxfId="1" priority="11" operator="between">
      <formula>80</formula>
      <formula>99.999</formula>
    </cfRule>
  </conditionalFormatting>
  <conditionalFormatting sqref="S91:U91 Y91">
    <cfRule type="cellIs" dxfId="2" priority="12" operator="greaterThanOrEqual">
      <formula>100</formula>
    </cfRule>
  </conditionalFormatting>
  <conditionalFormatting sqref="S114:U114 Y114">
    <cfRule type="cellIs" dxfId="0" priority="13" operator="lessThan">
      <formula>80</formula>
    </cfRule>
  </conditionalFormatting>
  <conditionalFormatting sqref="S114:U114 Y114">
    <cfRule type="cellIs" dxfId="1" priority="14" operator="between">
      <formula>80</formula>
      <formula>99.999</formula>
    </cfRule>
  </conditionalFormatting>
  <conditionalFormatting sqref="S114:U114 Y114">
    <cfRule type="cellIs" dxfId="2" priority="15" operator="greaterThanOrEqual">
      <formula>100</formula>
    </cfRule>
  </conditionalFormatting>
  <conditionalFormatting sqref="S8:U10 Y8:Y10">
    <cfRule type="cellIs" dxfId="0" priority="16" operator="lessThan">
      <formula>80</formula>
    </cfRule>
  </conditionalFormatting>
  <conditionalFormatting sqref="S8:U10 Y8:Y10">
    <cfRule type="cellIs" dxfId="1" priority="17" operator="between">
      <formula>80</formula>
      <formula>99.999</formula>
    </cfRule>
  </conditionalFormatting>
  <conditionalFormatting sqref="S8:U10 Y8:Y10">
    <cfRule type="cellIs" dxfId="2" priority="18" operator="greaterThanOrEqual">
      <formula>100</formula>
    </cfRule>
  </conditionalFormatting>
  <conditionalFormatting sqref="S35:U38 Y35:Y38">
    <cfRule type="cellIs" dxfId="0" priority="19" operator="lessThan">
      <formula>80</formula>
    </cfRule>
  </conditionalFormatting>
  <conditionalFormatting sqref="S35:U38 Y35:Y38">
    <cfRule type="cellIs" dxfId="1" priority="20" operator="between">
      <formula>80</formula>
      <formula>99.999</formula>
    </cfRule>
  </conditionalFormatting>
  <conditionalFormatting sqref="S35:U38 Y35:Y38">
    <cfRule type="cellIs" dxfId="2" priority="21" operator="greaterThanOrEqual">
      <formula>100</formula>
    </cfRule>
  </conditionalFormatting>
  <conditionalFormatting sqref="S49:U50 Y49:Y50">
    <cfRule type="cellIs" dxfId="0" priority="22" operator="lessThan">
      <formula>80</formula>
    </cfRule>
  </conditionalFormatting>
  <conditionalFormatting sqref="S49:U50 Y49:Y50">
    <cfRule type="cellIs" dxfId="1" priority="23" operator="between">
      <formula>80</formula>
      <formula>99.999</formula>
    </cfRule>
  </conditionalFormatting>
  <conditionalFormatting sqref="S49:U50 Y49:Y50">
    <cfRule type="cellIs" dxfId="2" priority="24" operator="greaterThanOrEqual">
      <formula>100</formula>
    </cfRule>
  </conditionalFormatting>
  <conditionalFormatting sqref="S153:U161 Y153:Y161">
    <cfRule type="cellIs" dxfId="0" priority="25" operator="lessThan">
      <formula>80</formula>
    </cfRule>
  </conditionalFormatting>
  <conditionalFormatting sqref="S153:U161 Y153:Y161">
    <cfRule type="cellIs" dxfId="1" priority="26" operator="between">
      <formula>80</formula>
      <formula>99.999</formula>
    </cfRule>
  </conditionalFormatting>
  <conditionalFormatting sqref="S153:U161 Y153:Y161">
    <cfRule type="cellIs" dxfId="2" priority="27" operator="greaterThanOrEqual">
      <formula>100</formula>
    </cfRule>
  </conditionalFormatting>
  <conditionalFormatting sqref="S178:U178 Y178">
    <cfRule type="cellIs" dxfId="0" priority="28" operator="lessThan">
      <formula>80</formula>
    </cfRule>
  </conditionalFormatting>
  <conditionalFormatting sqref="S178:U178 Y178">
    <cfRule type="cellIs" dxfId="1" priority="29" operator="between">
      <formula>80</formula>
      <formula>99.999</formula>
    </cfRule>
  </conditionalFormatting>
  <conditionalFormatting sqref="S178:U178 Y178">
    <cfRule type="cellIs" dxfId="2" priority="30" operator="greaterThanOrEqual">
      <formula>100</formula>
    </cfRule>
  </conditionalFormatting>
  <conditionalFormatting sqref="S189:U197 Y189:Y197">
    <cfRule type="cellIs" dxfId="0" priority="31" operator="lessThan">
      <formula>80</formula>
    </cfRule>
  </conditionalFormatting>
  <conditionalFormatting sqref="S189:U197 Y189:Y197">
    <cfRule type="cellIs" dxfId="1" priority="32" operator="between">
      <formula>80</formula>
      <formula>99.999</formula>
    </cfRule>
  </conditionalFormatting>
  <conditionalFormatting sqref="S189:U197 Y189:Y197">
    <cfRule type="cellIs" dxfId="2" priority="33" operator="greaterThanOrEqual">
      <formula>100</formula>
    </cfRule>
  </conditionalFormatting>
  <conditionalFormatting sqref="S214:U214 Y214">
    <cfRule type="cellIs" dxfId="0" priority="34" operator="lessThan">
      <formula>80</formula>
    </cfRule>
  </conditionalFormatting>
  <conditionalFormatting sqref="S214:U214 Y214">
    <cfRule type="cellIs" dxfId="1" priority="35" operator="between">
      <formula>80</formula>
      <formula>99.999</formula>
    </cfRule>
  </conditionalFormatting>
  <conditionalFormatting sqref="S214:U214 Y214">
    <cfRule type="cellIs" dxfId="2" priority="36" operator="greaterThanOrEqual">
      <formula>100</formula>
    </cfRule>
  </conditionalFormatting>
  <conditionalFormatting sqref="S225:U233 T249:U249 Y225:Y233">
    <cfRule type="cellIs" dxfId="0" priority="37" operator="lessThan">
      <formula>80</formula>
    </cfRule>
  </conditionalFormatting>
  <conditionalFormatting sqref="S225:U233 T249:U249 Y225:Y233">
    <cfRule type="cellIs" dxfId="1" priority="38" operator="between">
      <formula>80</formula>
      <formula>99.999</formula>
    </cfRule>
  </conditionalFormatting>
  <conditionalFormatting sqref="S225:U233 T249:U249 Y225:Y233">
    <cfRule type="cellIs" dxfId="2" priority="39" operator="greaterThanOrEqual">
      <formula>100</formula>
    </cfRule>
  </conditionalFormatting>
  <conditionalFormatting sqref="S249:U249 Y249">
    <cfRule type="cellIs" dxfId="0" priority="40" operator="lessThan">
      <formula>80</formula>
    </cfRule>
  </conditionalFormatting>
  <conditionalFormatting sqref="S249:U249 Y249">
    <cfRule type="cellIs" dxfId="1" priority="41" operator="between">
      <formula>80</formula>
      <formula>99.999</formula>
    </cfRule>
  </conditionalFormatting>
  <conditionalFormatting sqref="S249:U249 Y249">
    <cfRule type="cellIs" dxfId="2" priority="42" operator="greaterThanOrEqual">
      <formula>100</formula>
    </cfRule>
  </conditionalFormatting>
  <conditionalFormatting sqref="S260:S280 T260:T281 U260:U280 Y260:Y268">
    <cfRule type="cellIs" dxfId="0" priority="43" operator="lessThan">
      <formula>80</formula>
    </cfRule>
  </conditionalFormatting>
  <conditionalFormatting sqref="S260:S280 T260:T281 U260:U280 Y260:Y268">
    <cfRule type="cellIs" dxfId="1" priority="44" operator="between">
      <formula>80</formula>
      <formula>99.999</formula>
    </cfRule>
  </conditionalFormatting>
  <conditionalFormatting sqref="S260:S280 T260:T281 U260:U280 Y260:Y268">
    <cfRule type="cellIs" dxfId="2" priority="45" operator="greaterThanOrEqual">
      <formula>100</formula>
    </cfRule>
  </conditionalFormatting>
  <conditionalFormatting sqref="S281:U281 Y281">
    <cfRule type="cellIs" dxfId="0" priority="46" operator="lessThan">
      <formula>80</formula>
    </cfRule>
  </conditionalFormatting>
  <conditionalFormatting sqref="S281:U281 Y281">
    <cfRule type="cellIs" dxfId="1" priority="47" operator="between">
      <formula>80</formula>
      <formula>99.999</formula>
    </cfRule>
  </conditionalFormatting>
  <conditionalFormatting sqref="S281:U281 Y281">
    <cfRule type="cellIs" dxfId="2" priority="48" operator="greaterThanOrEqual">
      <formula>100</formula>
    </cfRule>
  </conditionalFormatting>
  <conditionalFormatting sqref="S292:U300 Y292:Y300">
    <cfRule type="cellIs" dxfId="0" priority="49" operator="lessThan">
      <formula>80</formula>
    </cfRule>
  </conditionalFormatting>
  <conditionalFormatting sqref="S292:U300 Y292:Y300">
    <cfRule type="cellIs" dxfId="1" priority="50" operator="between">
      <formula>80</formula>
      <formula>99.999</formula>
    </cfRule>
  </conditionalFormatting>
  <conditionalFormatting sqref="S292:U300 Y292:Y300">
    <cfRule type="cellIs" dxfId="2" priority="51" operator="greaterThanOrEqual">
      <formula>100</formula>
    </cfRule>
  </conditionalFormatting>
  <conditionalFormatting sqref="S316:U316 Y316">
    <cfRule type="cellIs" dxfId="0" priority="52" operator="lessThan">
      <formula>80</formula>
    </cfRule>
  </conditionalFormatting>
  <conditionalFormatting sqref="S316:U316 Y316">
    <cfRule type="cellIs" dxfId="1" priority="53" operator="between">
      <formula>80</formula>
      <formula>99.999</formula>
    </cfRule>
  </conditionalFormatting>
  <conditionalFormatting sqref="S316:U316 Y316">
    <cfRule type="cellIs" dxfId="2" priority="54" operator="greaterThanOrEqual">
      <formula>100</formula>
    </cfRule>
  </conditionalFormatting>
  <conditionalFormatting sqref="S327:U335 Y327:Y335">
    <cfRule type="cellIs" dxfId="0" priority="55" operator="lessThan">
      <formula>80</formula>
    </cfRule>
  </conditionalFormatting>
  <conditionalFormatting sqref="S327:U335 Y327:Y335">
    <cfRule type="cellIs" dxfId="1" priority="56" operator="between">
      <formula>80</formula>
      <formula>99.999</formula>
    </cfRule>
  </conditionalFormatting>
  <conditionalFormatting sqref="S327:U335 Y327:Y335">
    <cfRule type="cellIs" dxfId="2" priority="57" operator="greaterThanOrEqual">
      <formula>100</formula>
    </cfRule>
  </conditionalFormatting>
  <conditionalFormatting sqref="S356:U356 Y356">
    <cfRule type="cellIs" dxfId="0" priority="58" operator="lessThan">
      <formula>80</formula>
    </cfRule>
  </conditionalFormatting>
  <conditionalFormatting sqref="S356:U356 Y356">
    <cfRule type="cellIs" dxfId="1" priority="59" operator="between">
      <formula>80</formula>
      <formula>99.999</formula>
    </cfRule>
  </conditionalFormatting>
  <conditionalFormatting sqref="S356:U356 Y356">
    <cfRule type="cellIs" dxfId="2" priority="60" operator="greaterThanOrEqual">
      <formula>100</formula>
    </cfRule>
  </conditionalFormatting>
  <conditionalFormatting sqref="S367:U375 Y367:Y375">
    <cfRule type="cellIs" dxfId="0" priority="61" operator="lessThan">
      <formula>80</formula>
    </cfRule>
  </conditionalFormatting>
  <conditionalFormatting sqref="S367:U375 Y367:Y375">
    <cfRule type="cellIs" dxfId="1" priority="62" operator="between">
      <formula>80</formula>
      <formula>99.999</formula>
    </cfRule>
  </conditionalFormatting>
  <conditionalFormatting sqref="S367:U375 Y367:Y375">
    <cfRule type="cellIs" dxfId="2" priority="63" operator="greaterThanOrEqual">
      <formula>100</formula>
    </cfRule>
  </conditionalFormatting>
  <conditionalFormatting sqref="S394:U394 Y394">
    <cfRule type="cellIs" dxfId="0" priority="64" operator="lessThan">
      <formula>80</formula>
    </cfRule>
  </conditionalFormatting>
  <conditionalFormatting sqref="S394:U394 Y394">
    <cfRule type="cellIs" dxfId="1" priority="65" operator="between">
      <formula>80</formula>
      <formula>99.999</formula>
    </cfRule>
  </conditionalFormatting>
  <conditionalFormatting sqref="S394:U394 Y394">
    <cfRule type="cellIs" dxfId="2" priority="66" operator="greaterThanOrEqual">
      <formula>100</formula>
    </cfRule>
  </conditionalFormatting>
  <conditionalFormatting sqref="S405:U413 Y405:Y413">
    <cfRule type="cellIs" dxfId="0" priority="67" operator="lessThan">
      <formula>80</formula>
    </cfRule>
  </conditionalFormatting>
  <conditionalFormatting sqref="S405:U413 Y405:Y413">
    <cfRule type="cellIs" dxfId="1" priority="68" operator="between">
      <formula>80</formula>
      <formula>99.999</formula>
    </cfRule>
  </conditionalFormatting>
  <conditionalFormatting sqref="S405:U413 Y405:Y413">
    <cfRule type="cellIs" dxfId="2" priority="69" operator="greaterThanOrEqual">
      <formula>100</formula>
    </cfRule>
  </conditionalFormatting>
  <conditionalFormatting sqref="S425:U425 Y425">
    <cfRule type="cellIs" dxfId="0" priority="70" operator="lessThan">
      <formula>80</formula>
    </cfRule>
  </conditionalFormatting>
  <conditionalFormatting sqref="S425:U425 Y425">
    <cfRule type="cellIs" dxfId="1" priority="71" operator="between">
      <formula>80</formula>
      <formula>99.999</formula>
    </cfRule>
  </conditionalFormatting>
  <conditionalFormatting sqref="S425:U425 Y425">
    <cfRule type="cellIs" dxfId="2" priority="72" operator="greaterThanOrEqual">
      <formula>100</formula>
    </cfRule>
  </conditionalFormatting>
  <conditionalFormatting sqref="S436:U443 Y436:Y443">
    <cfRule type="cellIs" dxfId="0" priority="73" operator="lessThan">
      <formula>80</formula>
    </cfRule>
  </conditionalFormatting>
  <conditionalFormatting sqref="S436:U443 Y436:Y443">
    <cfRule type="cellIs" dxfId="1" priority="74" operator="between">
      <formula>80</formula>
      <formula>99.999</formula>
    </cfRule>
  </conditionalFormatting>
  <conditionalFormatting sqref="S436:U443 Y436:Y443">
    <cfRule type="cellIs" dxfId="2" priority="75" operator="greaterThanOrEqual">
      <formula>100</formula>
    </cfRule>
  </conditionalFormatting>
  <conditionalFormatting sqref="S454:U457 Y454:Y457">
    <cfRule type="cellIs" dxfId="0" priority="76" operator="lessThan">
      <formula>80</formula>
    </cfRule>
  </conditionalFormatting>
  <conditionalFormatting sqref="S454:U457 Y454:Y457">
    <cfRule type="cellIs" dxfId="1" priority="77" operator="between">
      <formula>80</formula>
      <formula>99.999</formula>
    </cfRule>
  </conditionalFormatting>
  <conditionalFormatting sqref="S454:U457 Y454:Y457">
    <cfRule type="cellIs" dxfId="2" priority="78" operator="greaterThanOrEqual">
      <formula>100</formula>
    </cfRule>
  </conditionalFormatting>
  <conditionalFormatting sqref="S484:U489 Y484:Y489">
    <cfRule type="cellIs" dxfId="0" priority="79" operator="lessThan">
      <formula>80</formula>
    </cfRule>
  </conditionalFormatting>
  <conditionalFormatting sqref="S484:U489 Y484:Y489">
    <cfRule type="cellIs" dxfId="1" priority="80" operator="between">
      <formula>80</formula>
      <formula>99.999</formula>
    </cfRule>
  </conditionalFormatting>
  <conditionalFormatting sqref="S484:U489 Y484:Y489">
    <cfRule type="cellIs" dxfId="2" priority="81" operator="greaterThanOrEqual">
      <formula>100</formula>
    </cfRule>
  </conditionalFormatting>
  <conditionalFormatting sqref="S481:U481 Y481">
    <cfRule type="cellIs" dxfId="0" priority="82" operator="lessThan">
      <formula>80</formula>
    </cfRule>
  </conditionalFormatting>
  <conditionalFormatting sqref="S481:U481 Y481">
    <cfRule type="cellIs" dxfId="1" priority="83" operator="between">
      <formula>80</formula>
      <formula>99.999</formula>
    </cfRule>
  </conditionalFormatting>
  <conditionalFormatting sqref="S481:U481 Y481">
    <cfRule type="cellIs" dxfId="2" priority="84" operator="greaterThanOrEqual">
      <formula>100</formula>
    </cfRule>
  </conditionalFormatting>
  <conditionalFormatting sqref="S483:U483 Y483">
    <cfRule type="cellIs" dxfId="0" priority="85" operator="lessThan">
      <formula>80</formula>
    </cfRule>
  </conditionalFormatting>
  <conditionalFormatting sqref="S483:U483 Y483">
    <cfRule type="cellIs" dxfId="1" priority="86" operator="between">
      <formula>80</formula>
      <formula>99.999</formula>
    </cfRule>
  </conditionalFormatting>
  <conditionalFormatting sqref="S483:U483 Y483">
    <cfRule type="cellIs" dxfId="2" priority="87" operator="greaterThanOrEqual">
      <formula>100</formula>
    </cfRule>
  </conditionalFormatting>
  <conditionalFormatting sqref="Q179">
    <cfRule type="notContainsBlanks" dxfId="3" priority="88">
      <formula>LEN(TRIM(Q179))&gt;0</formula>
    </cfRule>
  </conditionalFormatting>
  <printOptions/>
  <pageMargins bottom="0.75" footer="0.0" header="0.0" left="0.7" right="0.7" top="0.75"/>
  <pageSetup paperSize="9" orientation="portrait"/>
  <drawing r:id="rId2"/>
  <legacyDrawing r:id="rId3"/>
  <tableParts count="1"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9.0" topLeftCell="J1" activePane="topRight" state="frozen"/>
      <selection activeCell="K2" sqref="K2" pane="topRight"/>
    </sheetView>
  </sheetViews>
  <sheetFormatPr customHeight="1" defaultColWidth="12.63" defaultRowHeight="15.0"/>
  <cols>
    <col customWidth="1" min="1" max="1" width="4.13"/>
    <col customWidth="1" min="2" max="2" width="3.63"/>
    <col customWidth="1" min="3" max="3" width="2.5"/>
    <col customWidth="1" min="4" max="7" width="7.63"/>
    <col customWidth="1" min="8" max="8" width="65.13"/>
    <col customWidth="1" min="9" max="9" width="8.0"/>
    <col customWidth="1" min="10" max="10" width="12.13"/>
    <col customWidth="1" min="11" max="20" width="7.63"/>
    <col customWidth="1" min="21" max="21" width="9.38"/>
    <col customWidth="1" min="22" max="26" width="7.63"/>
  </cols>
  <sheetData>
    <row r="1" ht="14.25" customHeight="1">
      <c r="I1" s="5">
        <f>SUM(P86,P111,P134,P137,P167,P173,P203,P234,P239,O269,O273,O277,O301,O304,O338,O350,P380,P386,P414,P417)</f>
        <v>25845</v>
      </c>
    </row>
    <row r="2" ht="14.25" customHeight="1">
      <c r="B2" s="4" t="s">
        <v>167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6"/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 ht="14.25" customHeight="1">
      <c r="B3" s="89" t="s">
        <v>2</v>
      </c>
      <c r="C3" s="8"/>
      <c r="D3" s="8"/>
      <c r="E3" s="8"/>
      <c r="F3" s="8"/>
      <c r="G3" s="8"/>
      <c r="H3" s="8"/>
      <c r="I3" s="90"/>
      <c r="J3" s="91" t="s">
        <v>3</v>
      </c>
      <c r="K3" s="11"/>
      <c r="L3" s="11"/>
      <c r="M3" s="11"/>
      <c r="N3" s="11"/>
      <c r="O3" s="11"/>
      <c r="P3" s="11"/>
      <c r="Q3" s="11"/>
      <c r="R3" s="12"/>
      <c r="S3" s="91" t="s">
        <v>4</v>
      </c>
      <c r="T3" s="11"/>
      <c r="U3" s="11"/>
      <c r="V3" s="11"/>
      <c r="W3" s="11"/>
      <c r="X3" s="11"/>
      <c r="Y3" s="12"/>
    </row>
    <row r="4" ht="14.25" customHeight="1">
      <c r="B4" s="13"/>
      <c r="I4" s="92"/>
      <c r="J4" s="93" t="s">
        <v>5</v>
      </c>
      <c r="K4" s="94" t="s">
        <v>62</v>
      </c>
      <c r="L4" s="17"/>
      <c r="M4" s="17"/>
      <c r="N4" s="18"/>
      <c r="O4" s="94" t="s">
        <v>63</v>
      </c>
      <c r="P4" s="17"/>
      <c r="Q4" s="17"/>
      <c r="R4" s="18"/>
      <c r="S4" s="94" t="s">
        <v>64</v>
      </c>
      <c r="T4" s="17"/>
      <c r="U4" s="18"/>
      <c r="V4" s="94" t="s">
        <v>9</v>
      </c>
      <c r="W4" s="17"/>
      <c r="X4" s="17"/>
      <c r="Y4" s="18"/>
    </row>
    <row r="5" ht="14.25" customHeight="1">
      <c r="B5" s="19"/>
      <c r="C5" s="20"/>
      <c r="D5" s="20"/>
      <c r="E5" s="20"/>
      <c r="F5" s="20"/>
      <c r="G5" s="20"/>
      <c r="H5" s="20"/>
      <c r="I5" s="21"/>
      <c r="J5" s="22"/>
      <c r="K5" s="95" t="s">
        <v>10</v>
      </c>
      <c r="L5" s="95" t="s">
        <v>11</v>
      </c>
      <c r="M5" s="95" t="s">
        <v>12</v>
      </c>
      <c r="N5" s="95" t="s">
        <v>13</v>
      </c>
      <c r="O5" s="95" t="s">
        <v>10</v>
      </c>
      <c r="P5" s="95" t="s">
        <v>11</v>
      </c>
      <c r="Q5" s="95" t="s">
        <v>12</v>
      </c>
      <c r="R5" s="95" t="s">
        <v>13</v>
      </c>
      <c r="S5" s="95" t="s">
        <v>10</v>
      </c>
      <c r="T5" s="95" t="s">
        <v>11</v>
      </c>
      <c r="U5" s="95" t="s">
        <v>12</v>
      </c>
      <c r="V5" s="95" t="s">
        <v>10</v>
      </c>
      <c r="W5" s="95" t="s">
        <v>11</v>
      </c>
      <c r="X5" s="95" t="s">
        <v>12</v>
      </c>
      <c r="Y5" s="95" t="s">
        <v>13</v>
      </c>
    </row>
    <row r="6" ht="14.25" customHeight="1">
      <c r="B6" s="97">
        <v>-1.0</v>
      </c>
      <c r="C6" s="27"/>
      <c r="D6" s="27"/>
      <c r="E6" s="27"/>
      <c r="F6" s="27"/>
      <c r="G6" s="27"/>
      <c r="H6" s="27"/>
      <c r="I6" s="98"/>
      <c r="J6" s="99">
        <v>-2.0</v>
      </c>
      <c r="K6" s="99">
        <v>-3.0</v>
      </c>
      <c r="L6" s="99">
        <v>-4.0</v>
      </c>
      <c r="M6" s="99">
        <v>-5.0</v>
      </c>
      <c r="N6" s="99">
        <v>-6.0</v>
      </c>
      <c r="O6" s="99">
        <v>-7.0</v>
      </c>
      <c r="P6" s="99">
        <v>-8.0</v>
      </c>
      <c r="Q6" s="99">
        <v>-9.0</v>
      </c>
      <c r="R6" s="99">
        <v>-10.0</v>
      </c>
      <c r="S6" s="99">
        <v>-11.0</v>
      </c>
      <c r="T6" s="99">
        <v>-12.0</v>
      </c>
      <c r="U6" s="99">
        <v>-13.0</v>
      </c>
      <c r="V6" s="99">
        <v>-14.0</v>
      </c>
      <c r="W6" s="99">
        <v>-15.0</v>
      </c>
      <c r="X6" s="99">
        <v>-16.0</v>
      </c>
      <c r="Y6" s="99">
        <v>-17.0</v>
      </c>
    </row>
    <row r="7" ht="14.25" customHeight="1">
      <c r="B7" s="35"/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</row>
    <row r="8" ht="14.25" customHeight="1">
      <c r="B8" s="77" t="s">
        <v>65</v>
      </c>
      <c r="C8" s="77"/>
      <c r="D8" s="77"/>
      <c r="E8" s="77"/>
      <c r="F8" s="77"/>
      <c r="G8" s="77"/>
      <c r="H8" s="77"/>
      <c r="I8" s="236">
        <v>4.0</v>
      </c>
      <c r="J8" s="103" t="s">
        <v>66</v>
      </c>
      <c r="K8" s="42">
        <v>0.0</v>
      </c>
      <c r="L8" s="42">
        <v>0.0</v>
      </c>
      <c r="M8" s="42">
        <v>2.0</v>
      </c>
      <c r="N8" s="237">
        <f>M8+2</f>
        <v>4</v>
      </c>
      <c r="O8" s="42">
        <v>0.0</v>
      </c>
      <c r="P8" s="42">
        <v>0.0</v>
      </c>
      <c r="Q8" s="42">
        <v>2.0</v>
      </c>
      <c r="R8" s="42">
        <v>4.0</v>
      </c>
      <c r="S8" s="46">
        <f t="shared" ref="S8:U8" si="1">IF(K8=0,0,IF((O8/K8*100)&gt;120,120,O8/K8*100))</f>
        <v>0</v>
      </c>
      <c r="T8" s="46">
        <f t="shared" si="1"/>
        <v>0</v>
      </c>
      <c r="U8" s="46">
        <f t="shared" si="1"/>
        <v>100</v>
      </c>
      <c r="V8" s="46">
        <f t="shared" ref="V8:Y8" si="2">IF($N8=0,0,IF((O8/$N8*100)&gt;120,120,O8/$N8*100))</f>
        <v>0</v>
      </c>
      <c r="W8" s="46">
        <f t="shared" si="2"/>
        <v>0</v>
      </c>
      <c r="X8" s="46">
        <f t="shared" si="2"/>
        <v>50</v>
      </c>
      <c r="Y8" s="46">
        <f t="shared" si="2"/>
        <v>100</v>
      </c>
    </row>
    <row r="9" ht="14.25" customHeight="1">
      <c r="B9" s="77" t="s">
        <v>67</v>
      </c>
      <c r="C9" s="77"/>
      <c r="D9" s="77"/>
      <c r="E9" s="77"/>
      <c r="F9" s="77"/>
      <c r="G9" s="77"/>
      <c r="H9" s="77"/>
      <c r="I9" s="236">
        <v>4.0</v>
      </c>
      <c r="J9" s="103" t="s">
        <v>66</v>
      </c>
      <c r="K9" s="42">
        <v>0.0</v>
      </c>
      <c r="L9" s="42">
        <v>0.0</v>
      </c>
      <c r="M9" s="42">
        <v>2.0</v>
      </c>
      <c r="N9" s="104">
        <v>4.0</v>
      </c>
      <c r="O9" s="42">
        <v>0.0</v>
      </c>
      <c r="P9" s="42">
        <v>0.0</v>
      </c>
      <c r="Q9" s="42">
        <v>2.0</v>
      </c>
      <c r="R9" s="42">
        <v>4.0</v>
      </c>
      <c r="S9" s="46">
        <f t="shared" ref="S9:U9" si="3">IF(K9=0,0,IF((O9/K9*100)&gt;120,120,O9/K9*100))</f>
        <v>0</v>
      </c>
      <c r="T9" s="46">
        <f t="shared" si="3"/>
        <v>0</v>
      </c>
      <c r="U9" s="46">
        <f t="shared" si="3"/>
        <v>100</v>
      </c>
      <c r="V9" s="46">
        <f t="shared" ref="V9:Y9" si="4">IF($N9=0,0,IF((O9/$N9*100)&gt;120,120,O9/$N9*100))</f>
        <v>0</v>
      </c>
      <c r="W9" s="46">
        <f t="shared" si="4"/>
        <v>0</v>
      </c>
      <c r="X9" s="46">
        <f t="shared" si="4"/>
        <v>50</v>
      </c>
      <c r="Y9" s="46">
        <f t="shared" si="4"/>
        <v>100</v>
      </c>
    </row>
    <row r="10" ht="14.25" customHeight="1">
      <c r="B10" s="77" t="s">
        <v>68</v>
      </c>
      <c r="C10" s="77"/>
      <c r="D10" s="77"/>
      <c r="E10" s="77"/>
      <c r="F10" s="77"/>
      <c r="G10" s="77"/>
      <c r="H10" s="77"/>
      <c r="I10" s="236">
        <v>98.0</v>
      </c>
      <c r="J10" s="103" t="s">
        <v>35</v>
      </c>
      <c r="K10" s="42">
        <v>15.0</v>
      </c>
      <c r="L10" s="42">
        <v>40.0</v>
      </c>
      <c r="M10" s="42">
        <v>76.0</v>
      </c>
      <c r="N10" s="104">
        <v>98.0</v>
      </c>
      <c r="O10" s="42">
        <v>15.0</v>
      </c>
      <c r="P10" s="42">
        <v>38.38</v>
      </c>
      <c r="Q10" s="42">
        <v>68.56</v>
      </c>
      <c r="R10" s="42">
        <v>98.0</v>
      </c>
      <c r="S10" s="46">
        <f t="shared" ref="S10:U10" si="5">IF(K10=0,0,IF((O10/K10*100)&gt;120,120,O10/K10*100))</f>
        <v>100</v>
      </c>
      <c r="T10" s="46">
        <f t="shared" si="5"/>
        <v>95.95</v>
      </c>
      <c r="U10" s="46">
        <f t="shared" si="5"/>
        <v>90.21052632</v>
      </c>
      <c r="V10" s="46">
        <f t="shared" ref="V10:Y10" si="6">IF($N10=0,0,IF((O10/$N10*100)&gt;120,120,O10/$N10*100))</f>
        <v>15.30612245</v>
      </c>
      <c r="W10" s="46">
        <f t="shared" si="6"/>
        <v>39.16326531</v>
      </c>
      <c r="X10" s="46">
        <f t="shared" si="6"/>
        <v>69.95918367</v>
      </c>
      <c r="Y10" s="46">
        <f t="shared" si="6"/>
        <v>100</v>
      </c>
    </row>
    <row r="11" ht="14.25" customHeight="1">
      <c r="B11" s="39"/>
      <c r="C11" s="39"/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</row>
    <row r="12" ht="14.25" customHeight="1">
      <c r="A12" s="1"/>
      <c r="B12" s="238"/>
      <c r="C12" s="239"/>
      <c r="D12" s="240"/>
      <c r="E12" s="240"/>
      <c r="F12" s="240"/>
      <c r="G12" s="241" t="s">
        <v>438</v>
      </c>
      <c r="H12" s="240"/>
      <c r="I12" s="240"/>
      <c r="J12" s="240"/>
      <c r="K12" s="242"/>
      <c r="L12" s="242"/>
      <c r="M12" s="242"/>
      <c r="N12" s="242"/>
      <c r="O12" s="242"/>
      <c r="P12" s="242"/>
      <c r="Q12" s="242"/>
      <c r="R12" s="242"/>
      <c r="S12" s="243">
        <f t="shared" ref="S12:U12" si="7">IF(SUM(K7:K11)&gt;0,SUM(S7:S11)/COUNTIF(K7:K11,"&gt;0"),0)</f>
        <v>100</v>
      </c>
      <c r="T12" s="243">
        <f t="shared" si="7"/>
        <v>95.95</v>
      </c>
      <c r="U12" s="243">
        <f t="shared" si="7"/>
        <v>96.73684211</v>
      </c>
      <c r="V12" s="243">
        <f t="shared" ref="V12:Y12" si="8">IF(SUM($N7:$N11)&gt;0,SUM(V7:V11)/COUNTIF($N7:$N11,"&gt;0"),0)</f>
        <v>5.102040816</v>
      </c>
      <c r="W12" s="243">
        <f t="shared" si="8"/>
        <v>13.05442177</v>
      </c>
      <c r="X12" s="243">
        <f t="shared" si="8"/>
        <v>56.65306122</v>
      </c>
      <c r="Y12" s="243">
        <f t="shared" si="8"/>
        <v>100</v>
      </c>
    </row>
    <row r="13" ht="14.25" customHeight="1">
      <c r="K13" s="5">
        <f>K8+K21+K35+K49</f>
        <v>3</v>
      </c>
      <c r="V13" s="244">
        <f t="shared" ref="V13:Y13" si="9">AVERAGE(V8:V10)</f>
        <v>5.102040816</v>
      </c>
      <c r="W13" s="244">
        <f t="shared" si="9"/>
        <v>13.05442177</v>
      </c>
      <c r="X13" s="244">
        <f t="shared" si="9"/>
        <v>56.65306122</v>
      </c>
      <c r="Y13" s="244">
        <f t="shared" si="9"/>
        <v>100</v>
      </c>
    </row>
    <row r="14" ht="14.25" customHeight="1"/>
    <row r="15" ht="14.25" customHeight="1">
      <c r="B15" s="4" t="s">
        <v>169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6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</row>
    <row r="16" ht="15.75" customHeight="1">
      <c r="B16" s="89" t="s">
        <v>2</v>
      </c>
      <c r="C16" s="8"/>
      <c r="D16" s="8"/>
      <c r="E16" s="8"/>
      <c r="F16" s="8"/>
      <c r="G16" s="8"/>
      <c r="H16" s="8"/>
      <c r="I16" s="90"/>
      <c r="J16" s="91" t="s">
        <v>3</v>
      </c>
      <c r="K16" s="11"/>
      <c r="L16" s="11"/>
      <c r="M16" s="11"/>
      <c r="N16" s="11"/>
      <c r="O16" s="11"/>
      <c r="P16" s="11"/>
      <c r="Q16" s="11"/>
      <c r="R16" s="12"/>
      <c r="S16" s="91" t="s">
        <v>4</v>
      </c>
      <c r="T16" s="11"/>
      <c r="U16" s="11"/>
      <c r="V16" s="11"/>
      <c r="W16" s="11"/>
      <c r="X16" s="11"/>
      <c r="Y16" s="12"/>
    </row>
    <row r="17" ht="14.25" customHeight="1">
      <c r="B17" s="13"/>
      <c r="I17" s="92"/>
      <c r="J17" s="93" t="s">
        <v>5</v>
      </c>
      <c r="K17" s="94" t="s">
        <v>62</v>
      </c>
      <c r="L17" s="17"/>
      <c r="M17" s="17"/>
      <c r="N17" s="18"/>
      <c r="O17" s="94" t="s">
        <v>63</v>
      </c>
      <c r="P17" s="17"/>
      <c r="Q17" s="17"/>
      <c r="R17" s="18"/>
      <c r="S17" s="94" t="s">
        <v>64</v>
      </c>
      <c r="T17" s="17"/>
      <c r="U17" s="18"/>
      <c r="V17" s="94" t="s">
        <v>9</v>
      </c>
      <c r="W17" s="17"/>
      <c r="X17" s="17"/>
      <c r="Y17" s="18"/>
    </row>
    <row r="18" ht="14.25" customHeight="1">
      <c r="B18" s="19"/>
      <c r="C18" s="20"/>
      <c r="D18" s="20"/>
      <c r="E18" s="20"/>
      <c r="F18" s="20"/>
      <c r="G18" s="20"/>
      <c r="H18" s="20"/>
      <c r="I18" s="21"/>
      <c r="J18" s="22"/>
      <c r="K18" s="95" t="s">
        <v>10</v>
      </c>
      <c r="L18" s="95" t="s">
        <v>11</v>
      </c>
      <c r="M18" s="95" t="s">
        <v>12</v>
      </c>
      <c r="N18" s="95" t="s">
        <v>13</v>
      </c>
      <c r="O18" s="95" t="s">
        <v>10</v>
      </c>
      <c r="P18" s="95" t="s">
        <v>11</v>
      </c>
      <c r="Q18" s="95" t="s">
        <v>12</v>
      </c>
      <c r="R18" s="95" t="s">
        <v>13</v>
      </c>
      <c r="S18" s="95" t="s">
        <v>10</v>
      </c>
      <c r="T18" s="95" t="s">
        <v>11</v>
      </c>
      <c r="U18" s="95" t="s">
        <v>12</v>
      </c>
      <c r="V18" s="95" t="s">
        <v>10</v>
      </c>
      <c r="W18" s="95" t="s">
        <v>11</v>
      </c>
      <c r="X18" s="95" t="s">
        <v>12</v>
      </c>
      <c r="Y18" s="95" t="s">
        <v>13</v>
      </c>
    </row>
    <row r="19" ht="14.25" customHeight="1">
      <c r="B19" s="97">
        <v>-1.0</v>
      </c>
      <c r="C19" s="27"/>
      <c r="D19" s="27"/>
      <c r="E19" s="27"/>
      <c r="F19" s="27"/>
      <c r="G19" s="27"/>
      <c r="H19" s="27"/>
      <c r="I19" s="98"/>
      <c r="J19" s="99">
        <v>-2.0</v>
      </c>
      <c r="K19" s="99">
        <v>-3.0</v>
      </c>
      <c r="L19" s="99">
        <v>-4.0</v>
      </c>
      <c r="M19" s="99">
        <v>-5.0</v>
      </c>
      <c r="N19" s="99">
        <v>-6.0</v>
      </c>
      <c r="O19" s="99">
        <v>-7.0</v>
      </c>
      <c r="P19" s="99">
        <v>-8.0</v>
      </c>
      <c r="Q19" s="99">
        <v>-9.0</v>
      </c>
      <c r="R19" s="99">
        <v>-10.0</v>
      </c>
      <c r="S19" s="99">
        <v>-11.0</v>
      </c>
      <c r="T19" s="99">
        <v>-12.0</v>
      </c>
      <c r="U19" s="99">
        <v>-13.0</v>
      </c>
      <c r="V19" s="99">
        <v>-14.0</v>
      </c>
      <c r="W19" s="99">
        <v>-15.0</v>
      </c>
      <c r="X19" s="99">
        <v>-16.0</v>
      </c>
      <c r="Y19" s="99">
        <v>-17.0</v>
      </c>
    </row>
    <row r="20" ht="14.25" customHeight="1"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</row>
    <row r="21" ht="14.25" customHeight="1">
      <c r="B21" s="77" t="s">
        <v>65</v>
      </c>
      <c r="C21" s="77"/>
      <c r="D21" s="77"/>
      <c r="E21" s="77"/>
      <c r="F21" s="77"/>
      <c r="G21" s="77"/>
      <c r="H21" s="77"/>
      <c r="I21" s="77">
        <v>3.0</v>
      </c>
      <c r="J21" s="103" t="s">
        <v>66</v>
      </c>
      <c r="K21" s="42">
        <v>1.0</v>
      </c>
      <c r="L21" s="42">
        <v>1.0</v>
      </c>
      <c r="M21" s="42">
        <v>1.0</v>
      </c>
      <c r="N21" s="237">
        <v>3.0</v>
      </c>
      <c r="O21" s="42">
        <v>1.0</v>
      </c>
      <c r="P21" s="42">
        <v>1.0</v>
      </c>
      <c r="Q21" s="42">
        <v>1.0</v>
      </c>
      <c r="R21" s="42">
        <v>3.0</v>
      </c>
      <c r="S21" s="46">
        <f t="shared" ref="S21:U21" si="10">IF(K21=0,0,IF((O21/K21*100)&gt;120,120,O21/K21*100))</f>
        <v>100</v>
      </c>
      <c r="T21" s="46">
        <f t="shared" si="10"/>
        <v>100</v>
      </c>
      <c r="U21" s="46">
        <f t="shared" si="10"/>
        <v>100</v>
      </c>
      <c r="V21" s="46">
        <f t="shared" ref="V21:Y21" si="11">IF($N21=0,0,IF((O21/$N21*100)&gt;120,120,O21/$N21*100))</f>
        <v>33.33333333</v>
      </c>
      <c r="W21" s="46">
        <f t="shared" si="11"/>
        <v>33.33333333</v>
      </c>
      <c r="X21" s="46">
        <f t="shared" si="11"/>
        <v>33.33333333</v>
      </c>
      <c r="Y21" s="46">
        <f t="shared" si="11"/>
        <v>100</v>
      </c>
    </row>
    <row r="22" ht="14.25" customHeight="1">
      <c r="B22" s="77" t="s">
        <v>67</v>
      </c>
      <c r="C22" s="77"/>
      <c r="D22" s="77"/>
      <c r="E22" s="77"/>
      <c r="F22" s="77"/>
      <c r="G22" s="77"/>
      <c r="H22" s="77"/>
      <c r="I22" s="77">
        <v>3.0</v>
      </c>
      <c r="J22" s="103" t="s">
        <v>66</v>
      </c>
      <c r="K22" s="42">
        <v>1.0</v>
      </c>
      <c r="L22" s="42">
        <v>1.0</v>
      </c>
      <c r="M22" s="42">
        <v>1.0</v>
      </c>
      <c r="N22" s="237">
        <v>3.0</v>
      </c>
      <c r="O22" s="42">
        <v>1.0</v>
      </c>
      <c r="P22" s="42">
        <v>1.0</v>
      </c>
      <c r="Q22" s="42">
        <v>1.0</v>
      </c>
      <c r="R22" s="42">
        <v>3.0</v>
      </c>
      <c r="S22" s="46">
        <f t="shared" ref="S22:U22" si="12">IF(K22=0,0,IF((O22/K22*100)&gt;120,120,O22/K22*100))</f>
        <v>100</v>
      </c>
      <c r="T22" s="46">
        <f t="shared" si="12"/>
        <v>100</v>
      </c>
      <c r="U22" s="46">
        <f t="shared" si="12"/>
        <v>100</v>
      </c>
      <c r="V22" s="46">
        <f t="shared" ref="V22:Y22" si="13">IF($N22=0,0,IF((O22/$N22*100)&gt;120,120,O22/$N22*100))</f>
        <v>33.33333333</v>
      </c>
      <c r="W22" s="46">
        <f t="shared" si="13"/>
        <v>33.33333333</v>
      </c>
      <c r="X22" s="46">
        <f t="shared" si="13"/>
        <v>33.33333333</v>
      </c>
      <c r="Y22" s="46">
        <f t="shared" si="13"/>
        <v>100</v>
      </c>
    </row>
    <row r="23" ht="14.25" customHeight="1">
      <c r="B23" s="77" t="s">
        <v>69</v>
      </c>
      <c r="C23" s="77"/>
      <c r="D23" s="77"/>
      <c r="E23" s="77"/>
      <c r="F23" s="77"/>
      <c r="G23" s="77"/>
      <c r="H23" s="77"/>
      <c r="I23" s="77">
        <v>100.0</v>
      </c>
      <c r="J23" s="103" t="s">
        <v>35</v>
      </c>
      <c r="K23" s="42">
        <v>25.0</v>
      </c>
      <c r="L23" s="42">
        <v>50.0</v>
      </c>
      <c r="M23" s="42">
        <v>75.0</v>
      </c>
      <c r="N23" s="42">
        <v>100.0</v>
      </c>
      <c r="O23" s="42">
        <v>25.0</v>
      </c>
      <c r="P23" s="42">
        <v>50.0</v>
      </c>
      <c r="Q23" s="42">
        <v>75.0</v>
      </c>
      <c r="R23" s="42">
        <v>100.0</v>
      </c>
      <c r="S23" s="46">
        <f t="shared" ref="S23:U23" si="14">IF(K23=0,0,IF((O23/K23*100)&gt;120,120,O23/K23*100))</f>
        <v>100</v>
      </c>
      <c r="T23" s="46">
        <f t="shared" si="14"/>
        <v>100</v>
      </c>
      <c r="U23" s="46">
        <f t="shared" si="14"/>
        <v>100</v>
      </c>
      <c r="V23" s="46">
        <f t="shared" ref="V23:Y23" si="15">IF($N23=0,0,IF((O23/$N23*100)&gt;120,120,O23/$N23*100))</f>
        <v>25</v>
      </c>
      <c r="W23" s="46">
        <f t="shared" si="15"/>
        <v>50</v>
      </c>
      <c r="X23" s="46">
        <f t="shared" si="15"/>
        <v>75</v>
      </c>
      <c r="Y23" s="46">
        <f t="shared" si="15"/>
        <v>100</v>
      </c>
    </row>
    <row r="24" ht="14.25" customHeight="1">
      <c r="B24" s="77" t="s">
        <v>70</v>
      </c>
      <c r="C24" s="77"/>
      <c r="D24" s="77"/>
      <c r="E24" s="77"/>
      <c r="F24" s="77"/>
      <c r="G24" s="77"/>
      <c r="H24" s="77"/>
      <c r="I24" s="77">
        <v>100.0</v>
      </c>
      <c r="J24" s="103" t="s">
        <v>35</v>
      </c>
      <c r="K24" s="42">
        <v>25.0</v>
      </c>
      <c r="L24" s="42">
        <v>50.0</v>
      </c>
      <c r="M24" s="42">
        <v>75.0</v>
      </c>
      <c r="N24" s="104">
        <v>100.0</v>
      </c>
      <c r="O24" s="42">
        <v>25.0</v>
      </c>
      <c r="P24" s="42">
        <v>50.0</v>
      </c>
      <c r="Q24" s="42">
        <v>75.0</v>
      </c>
      <c r="R24" s="42">
        <v>100.0</v>
      </c>
      <c r="S24" s="46">
        <f t="shared" ref="S24:U24" si="16">IF(K24=0,0,IF((O24/K24*100)&gt;120,120,O24/K24*100))</f>
        <v>100</v>
      </c>
      <c r="T24" s="46">
        <f t="shared" si="16"/>
        <v>100</v>
      </c>
      <c r="U24" s="46">
        <f t="shared" si="16"/>
        <v>100</v>
      </c>
      <c r="V24" s="46">
        <f t="shared" ref="V24:Y24" si="17">IF($N24=0,0,IF((O24/$N24*100)&gt;120,120,O24/$N24*100))</f>
        <v>25</v>
      </c>
      <c r="W24" s="46">
        <f t="shared" si="17"/>
        <v>50</v>
      </c>
      <c r="X24" s="46">
        <f t="shared" si="17"/>
        <v>75</v>
      </c>
      <c r="Y24" s="46">
        <f t="shared" si="17"/>
        <v>100</v>
      </c>
    </row>
    <row r="25" ht="14.25" customHeight="1">
      <c r="B25" s="39"/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</row>
    <row r="26" ht="14.25" customHeight="1">
      <c r="B26" s="238"/>
      <c r="C26" s="239"/>
      <c r="D26" s="240"/>
      <c r="E26" s="240"/>
      <c r="F26" s="240"/>
      <c r="G26" s="241" t="s">
        <v>439</v>
      </c>
      <c r="H26" s="240"/>
      <c r="I26" s="240"/>
      <c r="J26" s="240"/>
      <c r="K26" s="242"/>
      <c r="L26" s="242"/>
      <c r="M26" s="242"/>
      <c r="N26" s="242"/>
      <c r="O26" s="242"/>
      <c r="P26" s="242"/>
      <c r="Q26" s="242"/>
      <c r="R26" s="242"/>
      <c r="S26" s="243">
        <f t="shared" ref="S26:U26" si="18">IF(SUM(K20:K25)&gt;0,SUM(S20:S25)/COUNTIF(K20:K25,"&gt;0"),0)</f>
        <v>100</v>
      </c>
      <c r="T26" s="243">
        <f t="shared" si="18"/>
        <v>100</v>
      </c>
      <c r="U26" s="243">
        <f t="shared" si="18"/>
        <v>100</v>
      </c>
      <c r="V26" s="243">
        <f t="shared" ref="V26:Y26" si="19">IF(SUM($N20:$N25)&gt;0,SUM(V20:V25)/COUNTIF($N20:$N25,"&gt;0"),0)</f>
        <v>29.16666667</v>
      </c>
      <c r="W26" s="243">
        <f t="shared" si="19"/>
        <v>41.66666667</v>
      </c>
      <c r="X26" s="243">
        <f t="shared" si="19"/>
        <v>54.16666667</v>
      </c>
      <c r="Y26" s="243">
        <f t="shared" si="19"/>
        <v>100</v>
      </c>
    </row>
    <row r="27" ht="14.25" customHeight="1">
      <c r="V27" s="244">
        <f t="shared" ref="V27:Y27" si="20">AVERAGE(V21:V24)</f>
        <v>29.16666667</v>
      </c>
      <c r="W27" s="244">
        <f t="shared" si="20"/>
        <v>41.66666667</v>
      </c>
      <c r="X27" s="244">
        <f t="shared" si="20"/>
        <v>54.16666667</v>
      </c>
      <c r="Y27" s="244">
        <f t="shared" si="20"/>
        <v>100</v>
      </c>
    </row>
    <row r="28" ht="14.25" customHeight="1"/>
    <row r="29" ht="14.25" customHeight="1">
      <c r="B29" s="4" t="s">
        <v>171</v>
      </c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6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 ht="15.75" customHeight="1">
      <c r="B30" s="89" t="s">
        <v>2</v>
      </c>
      <c r="C30" s="8"/>
      <c r="D30" s="8"/>
      <c r="E30" s="8"/>
      <c r="F30" s="8"/>
      <c r="G30" s="8"/>
      <c r="H30" s="8"/>
      <c r="I30" s="90"/>
      <c r="J30" s="91" t="s">
        <v>3</v>
      </c>
      <c r="K30" s="11"/>
      <c r="L30" s="11"/>
      <c r="M30" s="11"/>
      <c r="N30" s="11"/>
      <c r="O30" s="11"/>
      <c r="P30" s="11"/>
      <c r="Q30" s="11"/>
      <c r="R30" s="12"/>
      <c r="S30" s="91" t="s">
        <v>4</v>
      </c>
      <c r="T30" s="11"/>
      <c r="U30" s="11"/>
      <c r="V30" s="11"/>
      <c r="W30" s="11"/>
      <c r="X30" s="11"/>
      <c r="Y30" s="12"/>
    </row>
    <row r="31" ht="14.25" customHeight="1">
      <c r="B31" s="13"/>
      <c r="I31" s="92"/>
      <c r="J31" s="93" t="s">
        <v>5</v>
      </c>
      <c r="K31" s="94" t="s">
        <v>62</v>
      </c>
      <c r="L31" s="17"/>
      <c r="M31" s="17"/>
      <c r="N31" s="18"/>
      <c r="O31" s="94" t="s">
        <v>63</v>
      </c>
      <c r="P31" s="17"/>
      <c r="Q31" s="17"/>
      <c r="R31" s="18"/>
      <c r="S31" s="94" t="s">
        <v>64</v>
      </c>
      <c r="T31" s="17"/>
      <c r="U31" s="18"/>
      <c r="V31" s="94" t="s">
        <v>9</v>
      </c>
      <c r="W31" s="17"/>
      <c r="X31" s="17"/>
      <c r="Y31" s="18"/>
    </row>
    <row r="32" ht="14.25" customHeight="1">
      <c r="B32" s="19"/>
      <c r="C32" s="20"/>
      <c r="D32" s="20"/>
      <c r="E32" s="20"/>
      <c r="F32" s="20"/>
      <c r="G32" s="20"/>
      <c r="H32" s="20"/>
      <c r="I32" s="21"/>
      <c r="J32" s="22"/>
      <c r="K32" s="95" t="s">
        <v>10</v>
      </c>
      <c r="L32" s="95" t="s">
        <v>11</v>
      </c>
      <c r="M32" s="95" t="s">
        <v>12</v>
      </c>
      <c r="N32" s="95" t="s">
        <v>13</v>
      </c>
      <c r="O32" s="95" t="s">
        <v>10</v>
      </c>
      <c r="P32" s="95" t="s">
        <v>11</v>
      </c>
      <c r="Q32" s="95" t="s">
        <v>12</v>
      </c>
      <c r="R32" s="95" t="s">
        <v>13</v>
      </c>
      <c r="S32" s="95" t="s">
        <v>10</v>
      </c>
      <c r="T32" s="95" t="s">
        <v>11</v>
      </c>
      <c r="U32" s="95" t="s">
        <v>12</v>
      </c>
      <c r="V32" s="95" t="s">
        <v>10</v>
      </c>
      <c r="W32" s="95" t="s">
        <v>11</v>
      </c>
      <c r="X32" s="95" t="s">
        <v>12</v>
      </c>
      <c r="Y32" s="95" t="s">
        <v>13</v>
      </c>
    </row>
    <row r="33" ht="14.25" customHeight="1">
      <c r="B33" s="97">
        <v>-1.0</v>
      </c>
      <c r="C33" s="27"/>
      <c r="D33" s="27"/>
      <c r="E33" s="27"/>
      <c r="F33" s="27"/>
      <c r="G33" s="27"/>
      <c r="H33" s="27"/>
      <c r="I33" s="98"/>
      <c r="J33" s="99">
        <v>-2.0</v>
      </c>
      <c r="K33" s="99">
        <v>-3.0</v>
      </c>
      <c r="L33" s="99">
        <v>-4.0</v>
      </c>
      <c r="M33" s="99">
        <v>-5.0</v>
      </c>
      <c r="N33" s="99">
        <v>-6.0</v>
      </c>
      <c r="O33" s="99">
        <v>-7.0</v>
      </c>
      <c r="P33" s="99">
        <v>-8.0</v>
      </c>
      <c r="Q33" s="99">
        <v>-9.0</v>
      </c>
      <c r="R33" s="99">
        <v>-10.0</v>
      </c>
      <c r="S33" s="99">
        <v>-11.0</v>
      </c>
      <c r="T33" s="99">
        <v>-12.0</v>
      </c>
      <c r="U33" s="99">
        <v>-13.0</v>
      </c>
      <c r="V33" s="99">
        <v>-14.0</v>
      </c>
      <c r="W33" s="99">
        <v>-15.0</v>
      </c>
      <c r="X33" s="99">
        <v>-16.0</v>
      </c>
      <c r="Y33" s="99">
        <v>-17.0</v>
      </c>
    </row>
    <row r="34" ht="14.25" customHeight="1">
      <c r="B34" s="35"/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</row>
    <row r="35" ht="14.25" customHeight="1">
      <c r="B35" s="77" t="s">
        <v>65</v>
      </c>
      <c r="C35" s="77"/>
      <c r="D35" s="77"/>
      <c r="E35" s="77"/>
      <c r="F35" s="77"/>
      <c r="G35" s="77"/>
      <c r="H35" s="77"/>
      <c r="I35" s="77">
        <v>2.0</v>
      </c>
      <c r="J35" s="103" t="s">
        <v>66</v>
      </c>
      <c r="K35" s="42">
        <v>0.0</v>
      </c>
      <c r="L35" s="42">
        <v>1.0</v>
      </c>
      <c r="M35" s="42">
        <v>1.0</v>
      </c>
      <c r="N35" s="237">
        <v>2.0</v>
      </c>
      <c r="O35" s="42">
        <v>0.0</v>
      </c>
      <c r="P35" s="42">
        <v>1.0</v>
      </c>
      <c r="Q35" s="42">
        <v>1.0</v>
      </c>
      <c r="R35" s="42">
        <v>2.0</v>
      </c>
      <c r="S35" s="46">
        <f t="shared" ref="S35:U35" si="21">IF(K35=0,0,IF((O35/K35*100)&gt;120,120,O35/K35*100))</f>
        <v>0</v>
      </c>
      <c r="T35" s="46">
        <f t="shared" si="21"/>
        <v>100</v>
      </c>
      <c r="U35" s="46">
        <f t="shared" si="21"/>
        <v>100</v>
      </c>
      <c r="V35" s="46">
        <f t="shared" ref="V35:Y35" si="22">IF($N35=0,0,IF((O35/$N35*100)&gt;120,120,O35/$N35*100))</f>
        <v>0</v>
      </c>
      <c r="W35" s="46">
        <f t="shared" si="22"/>
        <v>50</v>
      </c>
      <c r="X35" s="46">
        <f t="shared" si="22"/>
        <v>50</v>
      </c>
      <c r="Y35" s="46">
        <f t="shared" si="22"/>
        <v>100</v>
      </c>
    </row>
    <row r="36" ht="14.25" customHeight="1">
      <c r="B36" s="77"/>
      <c r="C36" s="77" t="s">
        <v>172</v>
      </c>
      <c r="D36" s="77"/>
      <c r="E36" s="77"/>
      <c r="F36" s="77"/>
      <c r="G36" s="77"/>
      <c r="H36" s="77"/>
      <c r="I36" s="77">
        <v>300.0</v>
      </c>
      <c r="J36" s="103" t="s">
        <v>173</v>
      </c>
      <c r="K36" s="42">
        <v>90.0</v>
      </c>
      <c r="L36" s="42">
        <f>90+60</f>
        <v>150</v>
      </c>
      <c r="M36" s="42">
        <f>150+45</f>
        <v>195</v>
      </c>
      <c r="N36" s="245">
        <v>300.0</v>
      </c>
      <c r="O36" s="42">
        <v>90.0</v>
      </c>
      <c r="P36" s="42">
        <v>150.0</v>
      </c>
      <c r="Q36" s="42">
        <v>195.0</v>
      </c>
      <c r="R36" s="42">
        <v>300.0</v>
      </c>
      <c r="S36" s="46"/>
      <c r="T36" s="46"/>
      <c r="U36" s="46"/>
      <c r="V36" s="46"/>
      <c r="W36" s="46"/>
      <c r="X36" s="46"/>
      <c r="Y36" s="46"/>
    </row>
    <row r="37" ht="14.25" customHeight="1">
      <c r="B37" s="77"/>
      <c r="C37" s="77" t="s">
        <v>174</v>
      </c>
      <c r="D37" s="77"/>
      <c r="E37" s="77"/>
      <c r="F37" s="77"/>
      <c r="G37" s="77"/>
      <c r="H37" s="77"/>
      <c r="I37" s="77">
        <v>70.0</v>
      </c>
      <c r="J37" s="103" t="s">
        <v>173</v>
      </c>
      <c r="K37" s="42">
        <v>14.0</v>
      </c>
      <c r="L37" s="42">
        <v>35.0</v>
      </c>
      <c r="M37" s="42">
        <v>50.0</v>
      </c>
      <c r="N37" s="245">
        <v>70.0</v>
      </c>
      <c r="O37" s="42">
        <v>14.0</v>
      </c>
      <c r="P37" s="42">
        <v>35.0</v>
      </c>
      <c r="Q37" s="42">
        <v>50.0</v>
      </c>
      <c r="R37" s="42">
        <v>70.0</v>
      </c>
      <c r="S37" s="46"/>
      <c r="T37" s="46"/>
      <c r="U37" s="46"/>
      <c r="V37" s="46"/>
      <c r="W37" s="46"/>
      <c r="X37" s="46"/>
      <c r="Y37" s="46"/>
    </row>
    <row r="38" ht="14.25" customHeight="1">
      <c r="B38" s="77" t="s">
        <v>67</v>
      </c>
      <c r="C38" s="77"/>
      <c r="D38" s="77"/>
      <c r="E38" s="77"/>
      <c r="F38" s="77"/>
      <c r="G38" s="77"/>
      <c r="H38" s="77"/>
      <c r="I38" s="77"/>
      <c r="J38" s="103" t="s">
        <v>66</v>
      </c>
      <c r="K38" s="42">
        <v>0.0</v>
      </c>
      <c r="L38" s="42">
        <v>1.0</v>
      </c>
      <c r="M38" s="42">
        <v>1.0</v>
      </c>
      <c r="N38" s="104">
        <v>2.0</v>
      </c>
      <c r="O38" s="42">
        <v>0.0</v>
      </c>
      <c r="P38" s="42">
        <v>1.0</v>
      </c>
      <c r="Q38" s="42">
        <v>1.0</v>
      </c>
      <c r="R38" s="42">
        <v>2.0</v>
      </c>
      <c r="S38" s="46">
        <f t="shared" ref="S38:U38" si="23">IF(K38=0,0,IF((O38/K38*100)&gt;120,120,O38/K38*100))</f>
        <v>0</v>
      </c>
      <c r="T38" s="46">
        <f t="shared" si="23"/>
        <v>100</v>
      </c>
      <c r="U38" s="46">
        <f t="shared" si="23"/>
        <v>100</v>
      </c>
      <c r="V38" s="46">
        <f t="shared" ref="V38:Y38" si="24">IF($N38=0,0,IF((O38/$N38*100)&gt;120,120,O38/$N38*100))</f>
        <v>0</v>
      </c>
      <c r="W38" s="46">
        <f t="shared" si="24"/>
        <v>50</v>
      </c>
      <c r="X38" s="46">
        <f t="shared" si="24"/>
        <v>50</v>
      </c>
      <c r="Y38" s="46">
        <f t="shared" si="24"/>
        <v>100</v>
      </c>
    </row>
    <row r="39" ht="14.25" customHeight="1">
      <c r="B39" s="39"/>
      <c r="C39" s="39"/>
      <c r="D39" s="39"/>
      <c r="E39" s="39"/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</row>
    <row r="40" ht="14.25" customHeight="1">
      <c r="B40" s="238"/>
      <c r="C40" s="239"/>
      <c r="D40" s="240"/>
      <c r="E40" s="240"/>
      <c r="F40" s="240"/>
      <c r="G40" s="241" t="s">
        <v>440</v>
      </c>
      <c r="H40" s="240"/>
      <c r="I40" s="240"/>
      <c r="J40" s="240"/>
      <c r="K40" s="242"/>
      <c r="L40" s="242"/>
      <c r="M40" s="242"/>
      <c r="N40" s="242"/>
      <c r="O40" s="242"/>
      <c r="P40" s="242"/>
      <c r="Q40" s="242"/>
      <c r="R40" s="242"/>
      <c r="S40" s="243">
        <f t="shared" ref="S40:U40" si="25">IF(SUM(K35,K38)&gt;0,SUM(S35,S38)/SUM(COUNTIF(K35,"&gt;0"),COUNTIF(K38,"&gt;0")),0)</f>
        <v>0</v>
      </c>
      <c r="T40" s="243">
        <f t="shared" si="25"/>
        <v>100</v>
      </c>
      <c r="U40" s="243">
        <f t="shared" si="25"/>
        <v>100</v>
      </c>
      <c r="V40" s="243">
        <f t="shared" ref="V40:Y40" si="26">IF(SUM($N34:$N39)&gt;0,SUM(V34:V39)/COUNTIF($N34:$N39,"&gt;0"),0)</f>
        <v>0</v>
      </c>
      <c r="W40" s="243">
        <f t="shared" si="26"/>
        <v>25</v>
      </c>
      <c r="X40" s="243">
        <f t="shared" si="26"/>
        <v>25</v>
      </c>
      <c r="Y40" s="243">
        <f t="shared" si="26"/>
        <v>50</v>
      </c>
    </row>
    <row r="41" ht="14.25" customHeight="1">
      <c r="V41" s="244">
        <f t="shared" ref="V41:Y41" si="27">AVERAGE(V35:V38)</f>
        <v>0</v>
      </c>
      <c r="W41" s="244">
        <f t="shared" si="27"/>
        <v>50</v>
      </c>
      <c r="X41" s="244">
        <f t="shared" si="27"/>
        <v>50</v>
      </c>
      <c r="Y41" s="244">
        <f t="shared" si="27"/>
        <v>100</v>
      </c>
    </row>
    <row r="42" ht="14.25" customHeight="1"/>
    <row r="43" ht="14.25" customHeight="1">
      <c r="B43" s="4" t="s">
        <v>176</v>
      </c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6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 ht="15.75" customHeight="1">
      <c r="B44" s="89" t="s">
        <v>2</v>
      </c>
      <c r="C44" s="8"/>
      <c r="D44" s="8"/>
      <c r="E44" s="8"/>
      <c r="F44" s="8"/>
      <c r="G44" s="8"/>
      <c r="H44" s="8"/>
      <c r="I44" s="90"/>
      <c r="J44" s="91" t="s">
        <v>3</v>
      </c>
      <c r="K44" s="11"/>
      <c r="L44" s="11"/>
      <c r="M44" s="11"/>
      <c r="N44" s="11"/>
      <c r="O44" s="11"/>
      <c r="P44" s="11"/>
      <c r="Q44" s="11"/>
      <c r="R44" s="12"/>
      <c r="S44" s="91" t="s">
        <v>4</v>
      </c>
      <c r="T44" s="11"/>
      <c r="U44" s="11"/>
      <c r="V44" s="11"/>
      <c r="W44" s="11"/>
      <c r="X44" s="11"/>
      <c r="Y44" s="12"/>
    </row>
    <row r="45" ht="14.25" customHeight="1">
      <c r="B45" s="13"/>
      <c r="I45" s="92"/>
      <c r="J45" s="93" t="s">
        <v>5</v>
      </c>
      <c r="K45" s="94" t="s">
        <v>62</v>
      </c>
      <c r="L45" s="17"/>
      <c r="M45" s="17"/>
      <c r="N45" s="18"/>
      <c r="O45" s="94" t="s">
        <v>63</v>
      </c>
      <c r="P45" s="17"/>
      <c r="Q45" s="17"/>
      <c r="R45" s="18"/>
      <c r="S45" s="94" t="s">
        <v>64</v>
      </c>
      <c r="T45" s="17"/>
      <c r="U45" s="18"/>
      <c r="V45" s="94" t="s">
        <v>9</v>
      </c>
      <c r="W45" s="17"/>
      <c r="X45" s="17"/>
      <c r="Y45" s="18"/>
    </row>
    <row r="46" ht="14.25" customHeight="1">
      <c r="B46" s="19"/>
      <c r="C46" s="20"/>
      <c r="D46" s="20"/>
      <c r="E46" s="20"/>
      <c r="F46" s="20"/>
      <c r="G46" s="20"/>
      <c r="H46" s="20"/>
      <c r="I46" s="21"/>
      <c r="J46" s="22"/>
      <c r="K46" s="95" t="s">
        <v>10</v>
      </c>
      <c r="L46" s="95" t="s">
        <v>11</v>
      </c>
      <c r="M46" s="95" t="s">
        <v>12</v>
      </c>
      <c r="N46" s="95" t="s">
        <v>13</v>
      </c>
      <c r="O46" s="95" t="s">
        <v>10</v>
      </c>
      <c r="P46" s="95" t="s">
        <v>11</v>
      </c>
      <c r="Q46" s="95" t="s">
        <v>12</v>
      </c>
      <c r="R46" s="95" t="s">
        <v>13</v>
      </c>
      <c r="S46" s="95" t="s">
        <v>10</v>
      </c>
      <c r="T46" s="95" t="s">
        <v>11</v>
      </c>
      <c r="U46" s="95" t="s">
        <v>12</v>
      </c>
      <c r="V46" s="95" t="s">
        <v>10</v>
      </c>
      <c r="W46" s="95" t="s">
        <v>11</v>
      </c>
      <c r="X46" s="95" t="s">
        <v>12</v>
      </c>
      <c r="Y46" s="95" t="s">
        <v>13</v>
      </c>
    </row>
    <row r="47" ht="14.25" customHeight="1">
      <c r="B47" s="97">
        <v>-1.0</v>
      </c>
      <c r="C47" s="27"/>
      <c r="D47" s="27"/>
      <c r="E47" s="27"/>
      <c r="F47" s="27"/>
      <c r="G47" s="27"/>
      <c r="H47" s="27"/>
      <c r="I47" s="98"/>
      <c r="J47" s="99">
        <v>-2.0</v>
      </c>
      <c r="K47" s="99">
        <v>-3.0</v>
      </c>
      <c r="L47" s="99">
        <v>-4.0</v>
      </c>
      <c r="M47" s="99">
        <v>-5.0</v>
      </c>
      <c r="N47" s="99">
        <v>-6.0</v>
      </c>
      <c r="O47" s="99">
        <v>-7.0</v>
      </c>
      <c r="P47" s="99">
        <v>-8.0</v>
      </c>
      <c r="Q47" s="99">
        <v>-9.0</v>
      </c>
      <c r="R47" s="99">
        <v>-10.0</v>
      </c>
      <c r="S47" s="99">
        <v>-11.0</v>
      </c>
      <c r="T47" s="99">
        <v>-12.0</v>
      </c>
      <c r="U47" s="99">
        <v>-13.0</v>
      </c>
      <c r="V47" s="99">
        <v>-14.0</v>
      </c>
      <c r="W47" s="99">
        <v>-15.0</v>
      </c>
      <c r="X47" s="99">
        <v>-16.0</v>
      </c>
      <c r="Y47" s="99">
        <v>-17.0</v>
      </c>
    </row>
    <row r="48" ht="14.25" customHeight="1">
      <c r="B48" s="35"/>
      <c r="C48" s="35"/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</row>
    <row r="49" ht="14.25" customHeight="1">
      <c r="B49" s="77" t="s">
        <v>65</v>
      </c>
      <c r="C49" s="77"/>
      <c r="D49" s="77"/>
      <c r="E49" s="77"/>
      <c r="F49" s="77"/>
      <c r="G49" s="77"/>
      <c r="H49" s="77"/>
      <c r="I49" s="77">
        <v>7.0</v>
      </c>
      <c r="J49" s="103" t="s">
        <v>66</v>
      </c>
      <c r="K49" s="42">
        <v>2.0</v>
      </c>
      <c r="L49" s="42">
        <v>2.0</v>
      </c>
      <c r="M49" s="42">
        <v>4.0</v>
      </c>
      <c r="N49" s="237">
        <v>7.0</v>
      </c>
      <c r="O49" s="42">
        <v>2.0</v>
      </c>
      <c r="P49" s="42">
        <v>2.0</v>
      </c>
      <c r="Q49" s="42">
        <v>4.0</v>
      </c>
      <c r="R49" s="42">
        <v>7.0</v>
      </c>
      <c r="S49" s="46">
        <f t="shared" ref="S49:U49" si="28">IF(K49=0,0,IF((O49/K49*100)&gt;120,120,O49/K49*100))</f>
        <v>100</v>
      </c>
      <c r="T49" s="46">
        <f t="shared" si="28"/>
        <v>100</v>
      </c>
      <c r="U49" s="46">
        <f t="shared" si="28"/>
        <v>100</v>
      </c>
      <c r="V49" s="46">
        <f t="shared" ref="V49:Y49" si="29">IF($N49=0,0,IF((O49/$N49*100)&gt;120,120,O49/$N49*100))</f>
        <v>28.57142857</v>
      </c>
      <c r="W49" s="46">
        <f t="shared" si="29"/>
        <v>28.57142857</v>
      </c>
      <c r="X49" s="46">
        <f t="shared" si="29"/>
        <v>57.14285714</v>
      </c>
      <c r="Y49" s="46">
        <f t="shared" si="29"/>
        <v>100</v>
      </c>
    </row>
    <row r="50" ht="14.25" customHeight="1">
      <c r="B50" s="77" t="s">
        <v>67</v>
      </c>
      <c r="C50" s="77"/>
      <c r="D50" s="77"/>
      <c r="E50" s="77"/>
      <c r="F50" s="77"/>
      <c r="G50" s="77"/>
      <c r="H50" s="77"/>
      <c r="I50" s="77">
        <v>7.0</v>
      </c>
      <c r="J50" s="103" t="s">
        <v>66</v>
      </c>
      <c r="K50" s="42">
        <v>2.0</v>
      </c>
      <c r="L50" s="42">
        <v>2.0</v>
      </c>
      <c r="M50" s="42">
        <v>4.0</v>
      </c>
      <c r="N50" s="104">
        <v>7.0</v>
      </c>
      <c r="O50" s="42">
        <v>2.0</v>
      </c>
      <c r="P50" s="42">
        <v>2.0</v>
      </c>
      <c r="Q50" s="42">
        <v>4.0</v>
      </c>
      <c r="R50" s="42">
        <v>7.0</v>
      </c>
      <c r="S50" s="46">
        <f t="shared" ref="S50:U50" si="30">IF(K50=0,0,IF((O50/K50*100)&gt;120,120,O50/K50*100))</f>
        <v>100</v>
      </c>
      <c r="T50" s="46">
        <f t="shared" si="30"/>
        <v>100</v>
      </c>
      <c r="U50" s="46">
        <f t="shared" si="30"/>
        <v>100</v>
      </c>
      <c r="V50" s="46">
        <f t="shared" ref="V50:Y50" si="31">IF($N50=0,0,IF((O50/$N50*100)&gt;120,120,O50/$N50*100))</f>
        <v>28.57142857</v>
      </c>
      <c r="W50" s="46">
        <f t="shared" si="31"/>
        <v>28.57142857</v>
      </c>
      <c r="X50" s="46">
        <f t="shared" si="31"/>
        <v>57.14285714</v>
      </c>
      <c r="Y50" s="46">
        <f t="shared" si="31"/>
        <v>100</v>
      </c>
    </row>
    <row r="51" ht="14.25" customHeight="1">
      <c r="B51" s="39"/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</row>
    <row r="52" ht="14.25" customHeight="1">
      <c r="B52" s="238"/>
      <c r="C52" s="239"/>
      <c r="D52" s="240"/>
      <c r="E52" s="240"/>
      <c r="F52" s="240"/>
      <c r="G52" s="241" t="s">
        <v>441</v>
      </c>
      <c r="H52" s="240"/>
      <c r="I52" s="240"/>
      <c r="J52" s="240"/>
      <c r="K52" s="242"/>
      <c r="L52" s="242"/>
      <c r="M52" s="242"/>
      <c r="N52" s="242"/>
      <c r="O52" s="242"/>
      <c r="P52" s="242"/>
      <c r="Q52" s="242"/>
      <c r="R52" s="242"/>
      <c r="S52" s="243">
        <f t="shared" ref="S52:U52" si="32">IF(SUM(K48:K51)&gt;0,SUM(S48:S51)/COUNTIF(K48:K51,"&gt;0"),0)</f>
        <v>100</v>
      </c>
      <c r="T52" s="243">
        <f t="shared" si="32"/>
        <v>100</v>
      </c>
      <c r="U52" s="243">
        <f t="shared" si="32"/>
        <v>100</v>
      </c>
      <c r="V52" s="243">
        <f t="shared" ref="V52:Y52" si="33">IF(SUM($N48:$N51)&gt;0,SUM(V48:V51)/COUNTIF($N48:$N51,"&gt;0"),0)</f>
        <v>28.57142857</v>
      </c>
      <c r="W52" s="243">
        <f t="shared" si="33"/>
        <v>28.57142857</v>
      </c>
      <c r="X52" s="243">
        <f t="shared" si="33"/>
        <v>57.14285714</v>
      </c>
      <c r="Y52" s="243">
        <f t="shared" si="33"/>
        <v>100</v>
      </c>
    </row>
    <row r="53" ht="14.25" customHeight="1">
      <c r="V53" s="244">
        <f t="shared" ref="V53:Y53" si="34">AVERAGE(V49:V50)</f>
        <v>28.57142857</v>
      </c>
      <c r="W53" s="244">
        <f t="shared" si="34"/>
        <v>28.57142857</v>
      </c>
      <c r="X53" s="244">
        <f t="shared" si="34"/>
        <v>57.14285714</v>
      </c>
      <c r="Y53" s="244">
        <f t="shared" si="34"/>
        <v>100</v>
      </c>
    </row>
    <row r="54" ht="21.75" customHeight="1">
      <c r="B54" s="4" t="s">
        <v>178</v>
      </c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6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</row>
    <row r="55" ht="15.75" customHeight="1">
      <c r="B55" s="89" t="s">
        <v>2</v>
      </c>
      <c r="C55" s="8"/>
      <c r="D55" s="8"/>
      <c r="E55" s="8"/>
      <c r="F55" s="8"/>
      <c r="G55" s="8"/>
      <c r="H55" s="8"/>
      <c r="I55" s="90"/>
      <c r="J55" s="91" t="s">
        <v>3</v>
      </c>
      <c r="K55" s="11"/>
      <c r="L55" s="11"/>
      <c r="M55" s="11"/>
      <c r="N55" s="11"/>
      <c r="O55" s="11"/>
      <c r="P55" s="11"/>
      <c r="Q55" s="11"/>
      <c r="R55" s="12"/>
      <c r="S55" s="91" t="s">
        <v>4</v>
      </c>
      <c r="T55" s="11"/>
      <c r="U55" s="11"/>
      <c r="V55" s="11"/>
      <c r="W55" s="11"/>
      <c r="X55" s="11"/>
      <c r="Y55" s="12"/>
    </row>
    <row r="56" ht="14.25" customHeight="1">
      <c r="B56" s="13"/>
      <c r="I56" s="92"/>
      <c r="J56" s="93" t="s">
        <v>5</v>
      </c>
      <c r="K56" s="94" t="s">
        <v>62</v>
      </c>
      <c r="L56" s="17"/>
      <c r="M56" s="17"/>
      <c r="N56" s="18"/>
      <c r="O56" s="94" t="s">
        <v>63</v>
      </c>
      <c r="P56" s="17"/>
      <c r="Q56" s="17"/>
      <c r="R56" s="18"/>
      <c r="S56" s="94" t="s">
        <v>64</v>
      </c>
      <c r="T56" s="17"/>
      <c r="U56" s="18"/>
      <c r="V56" s="94" t="s">
        <v>9</v>
      </c>
      <c r="W56" s="17"/>
      <c r="X56" s="17"/>
      <c r="Y56" s="18"/>
    </row>
    <row r="57" ht="14.25" customHeight="1">
      <c r="B57" s="19"/>
      <c r="C57" s="20"/>
      <c r="D57" s="20"/>
      <c r="E57" s="20"/>
      <c r="F57" s="20"/>
      <c r="G57" s="20"/>
      <c r="H57" s="20"/>
      <c r="I57" s="21"/>
      <c r="J57" s="22"/>
      <c r="K57" s="95" t="s">
        <v>10</v>
      </c>
      <c r="L57" s="95" t="s">
        <v>11</v>
      </c>
      <c r="M57" s="95" t="s">
        <v>12</v>
      </c>
      <c r="N57" s="95" t="s">
        <v>13</v>
      </c>
      <c r="O57" s="95" t="s">
        <v>10</v>
      </c>
      <c r="P57" s="95" t="s">
        <v>11</v>
      </c>
      <c r="Q57" s="95" t="s">
        <v>12</v>
      </c>
      <c r="R57" s="95" t="s">
        <v>13</v>
      </c>
      <c r="S57" s="95" t="s">
        <v>10</v>
      </c>
      <c r="T57" s="95" t="s">
        <v>11</v>
      </c>
      <c r="U57" s="95" t="s">
        <v>12</v>
      </c>
      <c r="V57" s="95" t="s">
        <v>10</v>
      </c>
      <c r="W57" s="95" t="s">
        <v>11</v>
      </c>
      <c r="X57" s="95" t="s">
        <v>12</v>
      </c>
      <c r="Y57" s="95" t="s">
        <v>13</v>
      </c>
    </row>
    <row r="58" ht="14.25" customHeight="1">
      <c r="B58" s="97">
        <v>-1.0</v>
      </c>
      <c r="C58" s="27"/>
      <c r="D58" s="27"/>
      <c r="E58" s="27"/>
      <c r="F58" s="27"/>
      <c r="G58" s="27"/>
      <c r="H58" s="27"/>
      <c r="I58" s="98"/>
      <c r="J58" s="99">
        <v>-2.0</v>
      </c>
      <c r="K58" s="99">
        <v>-3.0</v>
      </c>
      <c r="L58" s="99">
        <v>-4.0</v>
      </c>
      <c r="M58" s="99">
        <v>-5.0</v>
      </c>
      <c r="N58" s="99">
        <v>-6.0</v>
      </c>
      <c r="O58" s="99">
        <v>-7.0</v>
      </c>
      <c r="P58" s="99">
        <v>-8.0</v>
      </c>
      <c r="Q58" s="99">
        <v>-9.0</v>
      </c>
      <c r="R58" s="99">
        <v>-10.0</v>
      </c>
      <c r="S58" s="99">
        <v>-11.0</v>
      </c>
      <c r="T58" s="99">
        <v>-12.0</v>
      </c>
      <c r="U58" s="99">
        <v>-13.0</v>
      </c>
      <c r="V58" s="99">
        <v>-14.0</v>
      </c>
      <c r="W58" s="99">
        <v>-15.0</v>
      </c>
      <c r="X58" s="99">
        <v>-16.0</v>
      </c>
      <c r="Y58" s="99">
        <v>-17.0</v>
      </c>
    </row>
    <row r="59" ht="14.25" customHeight="1"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</row>
    <row r="60" ht="14.25" customHeight="1">
      <c r="B60" s="77" t="s">
        <v>71</v>
      </c>
      <c r="C60" s="77"/>
      <c r="D60" s="77"/>
      <c r="E60" s="77"/>
      <c r="F60" s="77"/>
      <c r="G60" s="77"/>
      <c r="H60" s="77"/>
      <c r="I60" s="77"/>
      <c r="J60" s="103" t="s">
        <v>35</v>
      </c>
      <c r="K60" s="106">
        <f t="shared" ref="K60:M60" si="35">(IF($N61&gt;0,K61/$N61*100,0)+IF($N62&gt;0,K62/$N62*100,0)+IF($N63&gt;0,K63/$N63*100,0)+IF($N64&gt;0,K64/$N64*100,0)+IF($N65&gt;0,K65/$N65*100,0)+IF($N66&gt;0,K66/$N66*100,0))/1</f>
        <v>31.87772926</v>
      </c>
      <c r="L60" s="106">
        <f t="shared" si="35"/>
        <v>64.19213974</v>
      </c>
      <c r="M60" s="246">
        <f t="shared" si="35"/>
        <v>82.09606987</v>
      </c>
      <c r="N60" s="107">
        <f>(IF($N61&gt;0,N61/$N61*100,0)+IF($N62&gt;0,N62/$N62*100,0)+IF($N63&gt;0,N63/$N63*100,0)+IF($N64&gt;0,N64/$N64*100,0)+IF($N65&gt;0,N65/$N65*100,0)+IF($N66&gt;0,N66/$N66*100,0))/3</f>
        <v>100</v>
      </c>
      <c r="O60" s="108">
        <f t="shared" ref="O60:Q60" si="36">(IF($N61&gt;0,O61/$N61*100,0)+IF($N62&gt;0,O62/$N62*100,0)+IF($N63&gt;0,O63/$N63*100,0)+IF($N64&gt;0,O64/$N64*100,0)+IF($N65&gt;0,O65/$N65*100,0)+IF($N66&gt;0,O66/$N66*100,0))/1</f>
        <v>31.87772926</v>
      </c>
      <c r="P60" s="106">
        <f t="shared" si="36"/>
        <v>64.19213974</v>
      </c>
      <c r="Q60" s="106">
        <f t="shared" si="36"/>
        <v>82.09606987</v>
      </c>
      <c r="R60" s="106">
        <f>(IF($N61&gt;0,R61/$N61*100,0)+IF($N62&gt;0,R62/$N62*100,0)+IF($N63&gt;0,R63/$N63*100,0)+IF($N64&gt;0,R64/$N64*100,0)+IF($N65&gt;0,R65/$N65*100,0)+IF($N66&gt;0,R66/$N66*100,0))/3</f>
        <v>100</v>
      </c>
      <c r="S60" s="46">
        <f t="shared" ref="S60:U60" si="37">IF(K60=0,0,IF((O60/K60*100)&gt;120,120,O60/K60*100))</f>
        <v>100</v>
      </c>
      <c r="T60" s="46">
        <f t="shared" si="37"/>
        <v>100</v>
      </c>
      <c r="U60" s="46">
        <f t="shared" si="37"/>
        <v>100</v>
      </c>
      <c r="V60" s="46">
        <f t="shared" ref="V60:Y60" si="38">IF($N60=0,0,IF((O60/$N60*100)&gt;120,120,O60/$N60*100))</f>
        <v>31.87772926</v>
      </c>
      <c r="W60" s="46">
        <f t="shared" si="38"/>
        <v>64.19213974</v>
      </c>
      <c r="X60" s="46">
        <f t="shared" si="38"/>
        <v>82.09606987</v>
      </c>
      <c r="Y60" s="46">
        <f t="shared" si="38"/>
        <v>100</v>
      </c>
    </row>
    <row r="61" ht="14.25" customHeight="1">
      <c r="B61" s="77"/>
      <c r="C61" s="77" t="s">
        <v>72</v>
      </c>
      <c r="D61" s="77"/>
      <c r="E61" s="77"/>
      <c r="F61" s="77"/>
      <c r="G61" s="77"/>
      <c r="H61" s="77"/>
      <c r="I61" s="77"/>
      <c r="J61" s="110" t="s">
        <v>73</v>
      </c>
      <c r="K61" s="42"/>
      <c r="L61" s="42"/>
      <c r="M61" s="42"/>
      <c r="N61" s="42">
        <v>0.0</v>
      </c>
      <c r="O61" s="42"/>
      <c r="P61" s="42"/>
      <c r="Q61" s="42"/>
      <c r="R61" s="42">
        <v>0.0</v>
      </c>
      <c r="S61" s="111"/>
      <c r="T61" s="111"/>
      <c r="U61" s="111"/>
      <c r="V61" s="111"/>
      <c r="W61" s="111"/>
      <c r="X61" s="111"/>
      <c r="Y61" s="111"/>
    </row>
    <row r="62" ht="14.25" customHeight="1">
      <c r="B62" s="77"/>
      <c r="C62" s="77" t="s">
        <v>74</v>
      </c>
      <c r="D62" s="77"/>
      <c r="E62" s="77"/>
      <c r="F62" s="77"/>
      <c r="G62" s="77"/>
      <c r="H62" s="77"/>
      <c r="I62" s="77"/>
      <c r="J62" s="110" t="s">
        <v>73</v>
      </c>
      <c r="K62" s="42"/>
      <c r="L62" s="42"/>
      <c r="M62" s="42"/>
      <c r="N62" s="42">
        <f>5+10+1+1+4</f>
        <v>21</v>
      </c>
      <c r="O62" s="42"/>
      <c r="P62" s="42"/>
      <c r="Q62" s="42"/>
      <c r="R62" s="42">
        <v>21.0</v>
      </c>
      <c r="S62" s="111"/>
      <c r="T62" s="111"/>
      <c r="U62" s="111"/>
      <c r="V62" s="111"/>
      <c r="W62" s="111"/>
      <c r="X62" s="111"/>
      <c r="Y62" s="111"/>
    </row>
    <row r="63" ht="14.25" customHeight="1">
      <c r="B63" s="77"/>
      <c r="C63" s="77" t="s">
        <v>75</v>
      </c>
      <c r="D63" s="77"/>
      <c r="E63" s="77"/>
      <c r="F63" s="77"/>
      <c r="G63" s="77"/>
      <c r="H63" s="77"/>
      <c r="I63" s="77"/>
      <c r="J63" s="110" t="s">
        <v>73</v>
      </c>
      <c r="K63" s="42"/>
      <c r="L63" s="42"/>
      <c r="M63" s="42"/>
      <c r="N63" s="42">
        <f>3+4+1+1</f>
        <v>9</v>
      </c>
      <c r="O63" s="42"/>
      <c r="P63" s="42"/>
      <c r="Q63" s="42"/>
      <c r="R63" s="42">
        <v>9.0</v>
      </c>
      <c r="S63" s="111"/>
      <c r="T63" s="111"/>
      <c r="U63" s="111"/>
      <c r="V63" s="111"/>
      <c r="W63" s="111"/>
      <c r="X63" s="111"/>
      <c r="Y63" s="111"/>
    </row>
    <row r="64" ht="14.25" customHeight="1">
      <c r="B64" s="77"/>
      <c r="C64" s="77" t="s">
        <v>76</v>
      </c>
      <c r="D64" s="77"/>
      <c r="E64" s="77"/>
      <c r="F64" s="77"/>
      <c r="G64" s="77"/>
      <c r="H64" s="77"/>
      <c r="I64" s="77"/>
      <c r="J64" s="110" t="s">
        <v>77</v>
      </c>
      <c r="K64" s="42"/>
      <c r="L64" s="42"/>
      <c r="M64" s="42"/>
      <c r="N64" s="42">
        <v>0.0</v>
      </c>
      <c r="O64" s="42"/>
      <c r="P64" s="42"/>
      <c r="Q64" s="42"/>
      <c r="R64" s="42">
        <v>0.0</v>
      </c>
      <c r="S64" s="111"/>
      <c r="T64" s="111"/>
      <c r="U64" s="111"/>
      <c r="V64" s="111"/>
      <c r="W64" s="111"/>
      <c r="X64" s="111"/>
      <c r="Y64" s="111"/>
    </row>
    <row r="65" ht="14.25" customHeight="1">
      <c r="B65" s="77"/>
      <c r="C65" s="77" t="s">
        <v>78</v>
      </c>
      <c r="D65" s="77"/>
      <c r="E65" s="77"/>
      <c r="F65" s="77"/>
      <c r="G65" s="77"/>
      <c r="H65" s="77"/>
      <c r="I65" s="77"/>
      <c r="J65" s="110" t="s">
        <v>77</v>
      </c>
      <c r="K65" s="42"/>
      <c r="L65" s="42"/>
      <c r="M65" s="42"/>
      <c r="N65" s="42">
        <v>0.0</v>
      </c>
      <c r="O65" s="42"/>
      <c r="P65" s="42"/>
      <c r="Q65" s="42"/>
      <c r="R65" s="42">
        <v>0.0</v>
      </c>
      <c r="S65" s="111"/>
      <c r="T65" s="111"/>
      <c r="U65" s="111"/>
      <c r="V65" s="111"/>
      <c r="W65" s="111"/>
      <c r="X65" s="111"/>
      <c r="Y65" s="111"/>
    </row>
    <row r="66" ht="14.25" customHeight="1">
      <c r="B66" s="77"/>
      <c r="C66" s="77" t="s">
        <v>79</v>
      </c>
      <c r="D66" s="77"/>
      <c r="E66" s="77"/>
      <c r="F66" s="77"/>
      <c r="G66" s="77"/>
      <c r="H66" s="77"/>
      <c r="I66" s="77"/>
      <c r="J66" s="110" t="s">
        <v>80</v>
      </c>
      <c r="K66" s="42">
        <v>73.0</v>
      </c>
      <c r="L66" s="42">
        <v>147.0</v>
      </c>
      <c r="M66" s="42">
        <v>188.0</v>
      </c>
      <c r="N66" s="42">
        <v>229.0</v>
      </c>
      <c r="O66" s="42">
        <v>73.0</v>
      </c>
      <c r="P66" s="42">
        <v>147.0</v>
      </c>
      <c r="Q66" s="42">
        <v>188.0</v>
      </c>
      <c r="R66" s="42">
        <v>229.0</v>
      </c>
      <c r="S66" s="111"/>
      <c r="T66" s="111"/>
      <c r="U66" s="111"/>
      <c r="V66" s="111"/>
      <c r="W66" s="111"/>
      <c r="X66" s="111"/>
      <c r="Y66" s="111"/>
    </row>
    <row r="67" ht="14.25" customHeight="1">
      <c r="B67" s="39"/>
      <c r="C67" s="39"/>
      <c r="D67" s="39"/>
      <c r="E67" s="39"/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</row>
    <row r="68" ht="14.25" customHeight="1">
      <c r="B68" s="238"/>
      <c r="C68" s="239"/>
      <c r="D68" s="240"/>
      <c r="E68" s="240"/>
      <c r="F68" s="240"/>
      <c r="G68" s="241" t="s">
        <v>442</v>
      </c>
      <c r="H68" s="240"/>
      <c r="I68" s="240"/>
      <c r="J68" s="240"/>
      <c r="K68" s="242"/>
      <c r="L68" s="242"/>
      <c r="M68" s="242"/>
      <c r="N68" s="242"/>
      <c r="O68" s="242"/>
      <c r="P68" s="242"/>
      <c r="Q68" s="242"/>
      <c r="R68" s="242"/>
      <c r="S68" s="243">
        <f t="shared" ref="S68:U68" si="39">IF(SUM(K60)&gt;0,SUM(S60)/COUNTIF(K60,"&gt;0"),0)</f>
        <v>100</v>
      </c>
      <c r="T68" s="243">
        <f t="shared" si="39"/>
        <v>100</v>
      </c>
      <c r="U68" s="243">
        <f t="shared" si="39"/>
        <v>100</v>
      </c>
      <c r="V68" s="243">
        <f t="shared" ref="V68:Y68" si="40">IF(SUM($N59:$N67)&gt;0,SUM(V59:V67)/COUNTIF($N59:$N67,"&gt;0"),0)</f>
        <v>7.969432314</v>
      </c>
      <c r="W68" s="243">
        <f t="shared" si="40"/>
        <v>16.04803493</v>
      </c>
      <c r="X68" s="243">
        <f t="shared" si="40"/>
        <v>20.52401747</v>
      </c>
      <c r="Y68" s="243">
        <f t="shared" si="40"/>
        <v>25</v>
      </c>
    </row>
    <row r="69" ht="14.25" customHeight="1">
      <c r="V69" s="244">
        <f t="shared" ref="V69:Y69" si="41">AVERAGEA(V60)</f>
        <v>31.87772926</v>
      </c>
      <c r="W69" s="244">
        <f t="shared" si="41"/>
        <v>64.19213974</v>
      </c>
      <c r="X69" s="244">
        <f t="shared" si="41"/>
        <v>82.09606987</v>
      </c>
      <c r="Y69" s="244">
        <f t="shared" si="41"/>
        <v>100</v>
      </c>
    </row>
    <row r="70" ht="21.0" customHeight="1">
      <c r="B70" s="4" t="s">
        <v>180</v>
      </c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6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</row>
    <row r="71" ht="15.75" customHeight="1">
      <c r="B71" s="118" t="s">
        <v>2</v>
      </c>
      <c r="C71" s="8"/>
      <c r="D71" s="8"/>
      <c r="E71" s="8"/>
      <c r="F71" s="8"/>
      <c r="G71" s="8"/>
      <c r="H71" s="8"/>
      <c r="I71" s="247"/>
      <c r="J71" s="121" t="s">
        <v>3</v>
      </c>
      <c r="K71" s="11"/>
      <c r="L71" s="11"/>
      <c r="M71" s="11"/>
      <c r="N71" s="11"/>
      <c r="O71" s="11"/>
      <c r="P71" s="11"/>
      <c r="Q71" s="11"/>
      <c r="R71" s="12"/>
      <c r="S71" s="121" t="s">
        <v>4</v>
      </c>
      <c r="T71" s="11"/>
      <c r="U71" s="11"/>
      <c r="V71" s="11"/>
      <c r="W71" s="11"/>
      <c r="X71" s="11"/>
      <c r="Y71" s="12"/>
    </row>
    <row r="72" ht="14.25" customHeight="1">
      <c r="B72" s="13"/>
      <c r="I72" s="92"/>
      <c r="J72" s="124" t="s">
        <v>5</v>
      </c>
      <c r="K72" s="125" t="s">
        <v>62</v>
      </c>
      <c r="L72" s="17"/>
      <c r="M72" s="17"/>
      <c r="N72" s="18"/>
      <c r="O72" s="125" t="s">
        <v>63</v>
      </c>
      <c r="P72" s="17"/>
      <c r="Q72" s="17"/>
      <c r="R72" s="18"/>
      <c r="S72" s="125" t="s">
        <v>64</v>
      </c>
      <c r="T72" s="17"/>
      <c r="U72" s="18"/>
      <c r="V72" s="125" t="s">
        <v>9</v>
      </c>
      <c r="W72" s="17"/>
      <c r="X72" s="17"/>
      <c r="Y72" s="18"/>
    </row>
    <row r="73" ht="14.25" customHeight="1">
      <c r="B73" s="19"/>
      <c r="C73" s="20"/>
      <c r="D73" s="20"/>
      <c r="E73" s="20"/>
      <c r="F73" s="20"/>
      <c r="G73" s="20"/>
      <c r="H73" s="20"/>
      <c r="I73" s="21"/>
      <c r="J73" s="22"/>
      <c r="K73" s="127" t="s">
        <v>10</v>
      </c>
      <c r="L73" s="127" t="s">
        <v>11</v>
      </c>
      <c r="M73" s="127" t="s">
        <v>12</v>
      </c>
      <c r="N73" s="127" t="s">
        <v>13</v>
      </c>
      <c r="O73" s="127" t="s">
        <v>10</v>
      </c>
      <c r="P73" s="127" t="s">
        <v>11</v>
      </c>
      <c r="Q73" s="127" t="s">
        <v>12</v>
      </c>
      <c r="R73" s="127" t="s">
        <v>13</v>
      </c>
      <c r="S73" s="127" t="s">
        <v>10</v>
      </c>
      <c r="T73" s="127" t="s">
        <v>11</v>
      </c>
      <c r="U73" s="127" t="s">
        <v>12</v>
      </c>
      <c r="V73" s="127" t="s">
        <v>10</v>
      </c>
      <c r="W73" s="127" t="s">
        <v>11</v>
      </c>
      <c r="X73" s="127" t="s">
        <v>12</v>
      </c>
      <c r="Y73" s="127" t="s">
        <v>13</v>
      </c>
    </row>
    <row r="74" ht="14.25" customHeight="1">
      <c r="B74" s="129">
        <v>-1.0</v>
      </c>
      <c r="C74" s="27"/>
      <c r="D74" s="27"/>
      <c r="E74" s="27"/>
      <c r="F74" s="27"/>
      <c r="G74" s="27"/>
      <c r="H74" s="27"/>
      <c r="I74" s="248"/>
      <c r="J74" s="131">
        <v>-2.0</v>
      </c>
      <c r="K74" s="131">
        <v>-3.0</v>
      </c>
      <c r="L74" s="131">
        <v>-4.0</v>
      </c>
      <c r="M74" s="131">
        <v>-5.0</v>
      </c>
      <c r="N74" s="131">
        <v>-6.0</v>
      </c>
      <c r="O74" s="131">
        <v>-7.0</v>
      </c>
      <c r="P74" s="131">
        <v>-8.0</v>
      </c>
      <c r="Q74" s="131">
        <v>-9.0</v>
      </c>
      <c r="R74" s="131">
        <v>-10.0</v>
      </c>
      <c r="S74" s="131">
        <v>-11.0</v>
      </c>
      <c r="T74" s="131">
        <v>-12.0</v>
      </c>
      <c r="U74" s="131">
        <v>-13.0</v>
      </c>
      <c r="V74" s="131">
        <v>-14.0</v>
      </c>
      <c r="W74" s="131">
        <v>-15.0</v>
      </c>
      <c r="X74" s="131">
        <v>-16.0</v>
      </c>
      <c r="Y74" s="131">
        <v>-17.0</v>
      </c>
    </row>
    <row r="75" ht="14.25" customHeight="1">
      <c r="B75" s="35"/>
      <c r="C75" s="35"/>
      <c r="D75" s="35"/>
      <c r="E75" s="35"/>
      <c r="F75" s="35"/>
      <c r="G75" s="35"/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</row>
    <row r="76" ht="14.25" customHeight="1">
      <c r="B76" s="77" t="s">
        <v>181</v>
      </c>
      <c r="C76" s="77"/>
      <c r="D76" s="77"/>
      <c r="E76" s="77"/>
      <c r="F76" s="77"/>
      <c r="G76" s="77"/>
      <c r="H76" s="77"/>
      <c r="I76" s="159">
        <v>5.0</v>
      </c>
      <c r="J76" s="133" t="s">
        <v>85</v>
      </c>
      <c r="K76" s="135">
        <f t="shared" ref="K76:R76" si="42">SUM(K77:K78)</f>
        <v>0</v>
      </c>
      <c r="L76" s="135">
        <f t="shared" si="42"/>
        <v>2</v>
      </c>
      <c r="M76" s="249">
        <f t="shared" si="42"/>
        <v>3</v>
      </c>
      <c r="N76" s="250">
        <f t="shared" si="42"/>
        <v>5</v>
      </c>
      <c r="O76" s="251">
        <f t="shared" si="42"/>
        <v>0</v>
      </c>
      <c r="P76" s="135">
        <f t="shared" si="42"/>
        <v>2</v>
      </c>
      <c r="Q76" s="135">
        <f t="shared" si="42"/>
        <v>3</v>
      </c>
      <c r="R76" s="135">
        <f t="shared" si="42"/>
        <v>5</v>
      </c>
      <c r="S76" s="46">
        <f t="shared" ref="S76:U76" si="43">IF(K76=0,0,IF((O76/K76*100)&gt;120,120,O76/K76*100))</f>
        <v>0</v>
      </c>
      <c r="T76" s="46">
        <f t="shared" si="43"/>
        <v>100</v>
      </c>
      <c r="U76" s="46">
        <f t="shared" si="43"/>
        <v>100</v>
      </c>
      <c r="V76" s="46">
        <f t="shared" ref="V76:Y76" si="44">IF($N76=0,0,IF((O76/$N76*100)&gt;120,120,O76/$N76*100))</f>
        <v>0</v>
      </c>
      <c r="W76" s="46">
        <f t="shared" si="44"/>
        <v>40</v>
      </c>
      <c r="X76" s="46">
        <f t="shared" si="44"/>
        <v>60</v>
      </c>
      <c r="Y76" s="46">
        <f t="shared" si="44"/>
        <v>100</v>
      </c>
    </row>
    <row r="77" ht="14.25" customHeight="1">
      <c r="B77" s="77"/>
      <c r="C77" s="77" t="s">
        <v>182</v>
      </c>
      <c r="D77" s="77"/>
      <c r="E77" s="77"/>
      <c r="F77" s="77"/>
      <c r="G77" s="77"/>
      <c r="H77" s="77"/>
      <c r="I77" s="159">
        <v>3.0</v>
      </c>
      <c r="J77" s="136" t="s">
        <v>87</v>
      </c>
      <c r="K77" s="42">
        <v>0.0</v>
      </c>
      <c r="L77" s="42">
        <v>1.0</v>
      </c>
      <c r="M77" s="42">
        <v>2.0</v>
      </c>
      <c r="N77" s="42">
        <v>3.0</v>
      </c>
      <c r="O77" s="42">
        <v>0.0</v>
      </c>
      <c r="P77" s="42">
        <v>1.0</v>
      </c>
      <c r="Q77" s="266">
        <v>2.0</v>
      </c>
      <c r="R77" s="42">
        <v>3.0</v>
      </c>
      <c r="S77" s="46">
        <f t="shared" ref="S77:U77" si="45">IF(K77=0,0,IF((O77/K77*100)&gt;120,120,O77/K77*100))</f>
        <v>0</v>
      </c>
      <c r="T77" s="46">
        <f t="shared" si="45"/>
        <v>100</v>
      </c>
      <c r="U77" s="46">
        <f t="shared" si="45"/>
        <v>100</v>
      </c>
      <c r="V77" s="46">
        <f t="shared" ref="V77:Y77" si="46">IF($N77=0,0,IF((O77/$N77*100)&gt;120,120,O77/$N77*100))</f>
        <v>0</v>
      </c>
      <c r="W77" s="46">
        <f t="shared" si="46"/>
        <v>33.33333333</v>
      </c>
      <c r="X77" s="46">
        <f t="shared" si="46"/>
        <v>66.66666667</v>
      </c>
      <c r="Y77" s="46">
        <f t="shared" si="46"/>
        <v>100</v>
      </c>
    </row>
    <row r="78" ht="14.25" customHeight="1">
      <c r="B78" s="77"/>
      <c r="C78" s="77" t="s">
        <v>183</v>
      </c>
      <c r="D78" s="77"/>
      <c r="E78" s="77"/>
      <c r="F78" s="77"/>
      <c r="G78" s="77"/>
      <c r="H78" s="77"/>
      <c r="I78" s="159">
        <v>2.0</v>
      </c>
      <c r="J78" s="136" t="s">
        <v>66</v>
      </c>
      <c r="K78" s="42">
        <v>0.0</v>
      </c>
      <c r="L78" s="42">
        <v>1.0</v>
      </c>
      <c r="M78" s="42">
        <v>1.0</v>
      </c>
      <c r="N78" s="42">
        <v>2.0</v>
      </c>
      <c r="O78" s="42">
        <v>0.0</v>
      </c>
      <c r="P78" s="42">
        <v>1.0</v>
      </c>
      <c r="Q78" s="42">
        <v>1.0</v>
      </c>
      <c r="R78" s="42">
        <v>2.0</v>
      </c>
      <c r="S78" s="46">
        <f t="shared" ref="S78:U78" si="47">IF(K78=0,0,IF((O78/K78*100)&gt;120,120,O78/K78*100))</f>
        <v>0</v>
      </c>
      <c r="T78" s="46">
        <f t="shared" si="47"/>
        <v>100</v>
      </c>
      <c r="U78" s="46">
        <f t="shared" si="47"/>
        <v>100</v>
      </c>
      <c r="V78" s="46">
        <f t="shared" ref="V78:Y78" si="48">IF($N78=0,0,IF((O78/$N78*100)&gt;120,120,O78/$N78*100))</f>
        <v>0</v>
      </c>
      <c r="W78" s="46">
        <f t="shared" si="48"/>
        <v>50</v>
      </c>
      <c r="X78" s="46">
        <f t="shared" si="48"/>
        <v>50</v>
      </c>
      <c r="Y78" s="46">
        <f t="shared" si="48"/>
        <v>100</v>
      </c>
    </row>
    <row r="79" ht="14.25" customHeight="1">
      <c r="B79" s="77" t="s">
        <v>184</v>
      </c>
      <c r="C79" s="77"/>
      <c r="D79" s="77"/>
      <c r="E79" s="77"/>
      <c r="F79" s="77"/>
      <c r="G79" s="77"/>
      <c r="H79" s="77"/>
      <c r="I79" s="159">
        <v>5.0</v>
      </c>
      <c r="J79" s="133" t="s">
        <v>85</v>
      </c>
      <c r="K79" s="135">
        <f t="shared" ref="K79:R79" si="49">SUM(K80:K81)</f>
        <v>0</v>
      </c>
      <c r="L79" s="135">
        <f t="shared" si="49"/>
        <v>2</v>
      </c>
      <c r="M79" s="135">
        <f t="shared" si="49"/>
        <v>3</v>
      </c>
      <c r="N79" s="250">
        <f t="shared" si="49"/>
        <v>5</v>
      </c>
      <c r="O79" s="135">
        <f t="shared" si="49"/>
        <v>0</v>
      </c>
      <c r="P79" s="135">
        <f t="shared" si="49"/>
        <v>2</v>
      </c>
      <c r="Q79" s="135">
        <f t="shared" si="49"/>
        <v>3</v>
      </c>
      <c r="R79" s="135">
        <f t="shared" si="49"/>
        <v>5</v>
      </c>
      <c r="S79" s="46">
        <f t="shared" ref="S79:U79" si="50">IF(K79=0,0,IF((O79/K79*100)&gt;120,120,O79/K79*100))</f>
        <v>0</v>
      </c>
      <c r="T79" s="46">
        <f t="shared" si="50"/>
        <v>100</v>
      </c>
      <c r="U79" s="46">
        <f t="shared" si="50"/>
        <v>100</v>
      </c>
      <c r="V79" s="46">
        <f t="shared" ref="V79:Y79" si="51">IF($N79=0,0,IF((O79/$N79*100)&gt;120,120,O79/$N79*100))</f>
        <v>0</v>
      </c>
      <c r="W79" s="46">
        <f t="shared" si="51"/>
        <v>40</v>
      </c>
      <c r="X79" s="46">
        <f t="shared" si="51"/>
        <v>60</v>
      </c>
      <c r="Y79" s="46">
        <f t="shared" si="51"/>
        <v>100</v>
      </c>
    </row>
    <row r="80" ht="14.25" customHeight="1">
      <c r="B80" s="77"/>
      <c r="C80" s="77" t="s">
        <v>185</v>
      </c>
      <c r="D80" s="77"/>
      <c r="E80" s="77"/>
      <c r="F80" s="77"/>
      <c r="G80" s="77"/>
      <c r="H80" s="77"/>
      <c r="I80" s="159">
        <v>3.0</v>
      </c>
      <c r="J80" s="136" t="s">
        <v>87</v>
      </c>
      <c r="K80" s="42">
        <v>0.0</v>
      </c>
      <c r="L80" s="42">
        <v>1.0</v>
      </c>
      <c r="M80" s="42">
        <v>2.0</v>
      </c>
      <c r="N80" s="42">
        <v>3.0</v>
      </c>
      <c r="O80" s="42">
        <v>0.0</v>
      </c>
      <c r="P80" s="42">
        <v>1.0</v>
      </c>
      <c r="Q80" s="266">
        <v>2.0</v>
      </c>
      <c r="R80" s="42">
        <v>3.0</v>
      </c>
      <c r="S80" s="46">
        <f t="shared" ref="S80:U80" si="52">IF(K80=0,0,IF((O80/K80*100)&gt;120,120,O80/K80*100))</f>
        <v>0</v>
      </c>
      <c r="T80" s="46">
        <f t="shared" si="52"/>
        <v>100</v>
      </c>
      <c r="U80" s="46">
        <f t="shared" si="52"/>
        <v>100</v>
      </c>
      <c r="V80" s="46">
        <f t="shared" ref="V80:Y80" si="53">IF($N80=0,0,IF((O80/$N80*100)&gt;120,120,O80/$N80*100))</f>
        <v>0</v>
      </c>
      <c r="W80" s="46">
        <f t="shared" si="53"/>
        <v>33.33333333</v>
      </c>
      <c r="X80" s="46">
        <f t="shared" si="53"/>
        <v>66.66666667</v>
      </c>
      <c r="Y80" s="46">
        <f t="shared" si="53"/>
        <v>100</v>
      </c>
    </row>
    <row r="81" ht="14.25" customHeight="1">
      <c r="B81" s="77"/>
      <c r="C81" s="77" t="s">
        <v>186</v>
      </c>
      <c r="D81" s="77"/>
      <c r="E81" s="77"/>
      <c r="F81" s="77"/>
      <c r="G81" s="77"/>
      <c r="H81" s="77"/>
      <c r="I81" s="159">
        <v>2.0</v>
      </c>
      <c r="J81" s="136" t="s">
        <v>66</v>
      </c>
      <c r="K81" s="42">
        <v>0.0</v>
      </c>
      <c r="L81" s="42">
        <v>1.0</v>
      </c>
      <c r="M81" s="42">
        <v>1.0</v>
      </c>
      <c r="N81" s="42">
        <v>2.0</v>
      </c>
      <c r="O81" s="42">
        <v>0.0</v>
      </c>
      <c r="P81" s="42">
        <v>1.0</v>
      </c>
      <c r="Q81" s="42">
        <v>1.0</v>
      </c>
      <c r="R81" s="42">
        <v>2.0</v>
      </c>
      <c r="S81" s="46">
        <f t="shared" ref="S81:U81" si="54">IF(K81=0,0,IF((O81/K81*100)&gt;120,120,O81/K81*100))</f>
        <v>0</v>
      </c>
      <c r="T81" s="46">
        <f t="shared" si="54"/>
        <v>100</v>
      </c>
      <c r="U81" s="46">
        <f t="shared" si="54"/>
        <v>100</v>
      </c>
      <c r="V81" s="46">
        <f t="shared" ref="V81:Y81" si="55">IF($N81=0,0,IF((O81/$N81*100)&gt;120,120,O81/$N81*100))</f>
        <v>0</v>
      </c>
      <c r="W81" s="46">
        <f t="shared" si="55"/>
        <v>50</v>
      </c>
      <c r="X81" s="46">
        <f t="shared" si="55"/>
        <v>50</v>
      </c>
      <c r="Y81" s="46">
        <f t="shared" si="55"/>
        <v>100</v>
      </c>
    </row>
    <row r="82" ht="14.25" customHeight="1">
      <c r="B82" s="77" t="s">
        <v>92</v>
      </c>
      <c r="C82" s="77"/>
      <c r="D82" s="77"/>
      <c r="E82" s="77"/>
      <c r="F82" s="77"/>
      <c r="G82" s="77"/>
      <c r="H82" s="77"/>
      <c r="I82" s="159">
        <v>2.0</v>
      </c>
      <c r="J82" s="133" t="s">
        <v>85</v>
      </c>
      <c r="K82" s="42">
        <v>1.0</v>
      </c>
      <c r="L82" s="42">
        <v>1.0</v>
      </c>
      <c r="M82" s="42">
        <v>1.0</v>
      </c>
      <c r="N82" s="42">
        <v>2.0</v>
      </c>
      <c r="O82" s="42">
        <v>0.0</v>
      </c>
      <c r="P82" s="42">
        <v>2.0</v>
      </c>
      <c r="Q82" s="42">
        <v>1.0</v>
      </c>
      <c r="R82" s="42">
        <v>2.0</v>
      </c>
      <c r="S82" s="46">
        <f t="shared" ref="S82:U82" si="56">IF(K82=0,0,IF((O82/K82*100)&gt;120,120,O82/K82*100))</f>
        <v>0</v>
      </c>
      <c r="T82" s="46">
        <f t="shared" si="56"/>
        <v>120</v>
      </c>
      <c r="U82" s="46">
        <f t="shared" si="56"/>
        <v>100</v>
      </c>
      <c r="V82" s="46">
        <f t="shared" ref="V82:Y82" si="57">IF($N82=0,0,IF((O82/$N82*100)&gt;120,120,O82/$N82*100))</f>
        <v>0</v>
      </c>
      <c r="W82" s="46">
        <f t="shared" si="57"/>
        <v>100</v>
      </c>
      <c r="X82" s="46">
        <f t="shared" si="57"/>
        <v>50</v>
      </c>
      <c r="Y82" s="46">
        <f t="shared" si="57"/>
        <v>100</v>
      </c>
    </row>
    <row r="83" ht="14.25" customHeight="1">
      <c r="B83" s="77" t="s">
        <v>187</v>
      </c>
      <c r="C83" s="77"/>
      <c r="D83" s="77"/>
      <c r="E83" s="77"/>
      <c r="F83" s="77"/>
      <c r="G83" s="77"/>
      <c r="H83" s="77"/>
      <c r="I83" s="159">
        <v>3.0</v>
      </c>
      <c r="J83" s="133" t="s">
        <v>87</v>
      </c>
      <c r="K83" s="42">
        <v>0.0</v>
      </c>
      <c r="L83" s="42">
        <v>1.0</v>
      </c>
      <c r="M83" s="42">
        <v>2.0</v>
      </c>
      <c r="N83" s="42">
        <v>3.0</v>
      </c>
      <c r="O83" s="42">
        <v>0.0</v>
      </c>
      <c r="P83" s="42">
        <v>1.0</v>
      </c>
      <c r="Q83" s="266">
        <v>2.0</v>
      </c>
      <c r="R83" s="42">
        <v>3.0</v>
      </c>
      <c r="S83" s="46">
        <f t="shared" ref="S83:U83" si="58">IF(K83=0,0,IF((O83/K83*100)&gt;120,120,O83/K83*100))</f>
        <v>0</v>
      </c>
      <c r="T83" s="46">
        <f t="shared" si="58"/>
        <v>100</v>
      </c>
      <c r="U83" s="46">
        <f t="shared" si="58"/>
        <v>100</v>
      </c>
      <c r="V83" s="46">
        <f t="shared" ref="V83:Y83" si="59">IF($N83=0,0,IF((O83/$N83*100)&gt;120,120,O83/$N83*100))</f>
        <v>0</v>
      </c>
      <c r="W83" s="46">
        <f t="shared" si="59"/>
        <v>33.33333333</v>
      </c>
      <c r="X83" s="46">
        <f t="shared" si="59"/>
        <v>66.66666667</v>
      </c>
      <c r="Y83" s="46">
        <f t="shared" si="59"/>
        <v>100</v>
      </c>
    </row>
    <row r="84" ht="14.25" customHeight="1">
      <c r="B84" s="77" t="s">
        <v>188</v>
      </c>
      <c r="C84" s="77"/>
      <c r="D84" s="77"/>
      <c r="E84" s="77"/>
      <c r="F84" s="77"/>
      <c r="G84" s="77"/>
      <c r="H84" s="77"/>
      <c r="I84" s="159">
        <v>2.0</v>
      </c>
      <c r="J84" s="133" t="s">
        <v>95</v>
      </c>
      <c r="K84" s="42">
        <v>0.0</v>
      </c>
      <c r="L84" s="42">
        <v>1.0</v>
      </c>
      <c r="M84" s="42">
        <v>1.0</v>
      </c>
      <c r="N84" s="42">
        <v>2.0</v>
      </c>
      <c r="O84" s="42">
        <v>0.0</v>
      </c>
      <c r="P84" s="42">
        <v>1.0</v>
      </c>
      <c r="Q84" s="42">
        <v>1.0</v>
      </c>
      <c r="R84" s="42">
        <v>2.0</v>
      </c>
      <c r="S84" s="46">
        <f t="shared" ref="S84:U84" si="60">IF(K84=0,0,IF((O84/K84*100)&gt;120,120,O84/K84*100))</f>
        <v>0</v>
      </c>
      <c r="T84" s="46">
        <f t="shared" si="60"/>
        <v>100</v>
      </c>
      <c r="U84" s="46">
        <f t="shared" si="60"/>
        <v>100</v>
      </c>
      <c r="V84" s="46">
        <f t="shared" ref="V84:Y84" si="61">IF($N84=0,0,IF((O84/$N84*100)&gt;120,120,O84/$N84*100))</f>
        <v>0</v>
      </c>
      <c r="W84" s="46">
        <f t="shared" si="61"/>
        <v>50</v>
      </c>
      <c r="X84" s="46">
        <f t="shared" si="61"/>
        <v>50</v>
      </c>
      <c r="Y84" s="46">
        <f t="shared" si="61"/>
        <v>100</v>
      </c>
    </row>
    <row r="85" ht="14.25" customHeight="1">
      <c r="B85" s="77" t="s">
        <v>189</v>
      </c>
      <c r="C85" s="77"/>
      <c r="D85" s="77"/>
      <c r="E85" s="77"/>
      <c r="F85" s="77"/>
      <c r="G85" s="77"/>
      <c r="H85" s="77"/>
      <c r="I85" s="159">
        <v>100.0</v>
      </c>
      <c r="J85" s="133" t="s">
        <v>35</v>
      </c>
      <c r="K85" s="254">
        <f t="shared" ref="K85:R85" si="62">IF($I86=0,0,AVERAGE(IF($I86&gt;0,K86/$I86*100,0)))</f>
        <v>29.58140348</v>
      </c>
      <c r="L85" s="254">
        <f t="shared" si="62"/>
        <v>29.58140348</v>
      </c>
      <c r="M85" s="254">
        <f t="shared" si="62"/>
        <v>83.67560954</v>
      </c>
      <c r="N85" s="254">
        <f t="shared" si="62"/>
        <v>98.29590142</v>
      </c>
      <c r="O85" s="254">
        <f t="shared" si="62"/>
        <v>30.73494713</v>
      </c>
      <c r="P85" s="254">
        <f t="shared" si="62"/>
        <v>30.73494713</v>
      </c>
      <c r="Q85" s="254">
        <f t="shared" si="62"/>
        <v>83.79795508</v>
      </c>
      <c r="R85" s="254">
        <f t="shared" si="62"/>
        <v>98.41824696</v>
      </c>
      <c r="S85" s="46">
        <f t="shared" ref="S85:U85" si="63">IF(K85=0,0,IF((O85/K85*100)&gt;120,120,O85/K85*100))</f>
        <v>103.8995569</v>
      </c>
      <c r="T85" s="46">
        <f t="shared" si="63"/>
        <v>103.8995569</v>
      </c>
      <c r="U85" s="46">
        <f t="shared" si="63"/>
        <v>100.1462141</v>
      </c>
      <c r="V85" s="46">
        <f t="shared" ref="V85:Y85" si="64">IF($N85=0,0,IF((O85/$N85*100)&gt;120,120,O85/$N85*100))</f>
        <v>31.26778094</v>
      </c>
      <c r="W85" s="46">
        <f t="shared" si="64"/>
        <v>31.26778094</v>
      </c>
      <c r="X85" s="46">
        <f t="shared" si="64"/>
        <v>85.25071124</v>
      </c>
      <c r="Y85" s="46">
        <f t="shared" si="64"/>
        <v>100.1244666</v>
      </c>
    </row>
    <row r="86" ht="14.25" customHeight="1">
      <c r="B86" s="77"/>
      <c r="C86" s="77" t="s">
        <v>190</v>
      </c>
      <c r="D86" s="77"/>
      <c r="E86" s="77"/>
      <c r="F86" s="77"/>
      <c r="G86" s="77"/>
      <c r="H86" s="77"/>
      <c r="I86" s="42">
        <f>SUM(I87:I90)</f>
        <v>11443</v>
      </c>
      <c r="J86" s="136" t="s">
        <v>98</v>
      </c>
      <c r="K86" s="42">
        <f t="shared" ref="K86:R86" si="65">SUM(K87:K90)</f>
        <v>3385</v>
      </c>
      <c r="L86" s="42">
        <f t="shared" si="65"/>
        <v>3385</v>
      </c>
      <c r="M86" s="42">
        <f t="shared" si="65"/>
        <v>9575</v>
      </c>
      <c r="N86" s="42">
        <f t="shared" si="65"/>
        <v>11248</v>
      </c>
      <c r="O86" s="42">
        <f t="shared" si="65"/>
        <v>3517</v>
      </c>
      <c r="P86" s="42">
        <f t="shared" si="65"/>
        <v>3517</v>
      </c>
      <c r="Q86" s="42">
        <f t="shared" si="65"/>
        <v>9589</v>
      </c>
      <c r="R86" s="42">
        <f t="shared" si="65"/>
        <v>11262</v>
      </c>
      <c r="S86" s="111"/>
      <c r="T86" s="111"/>
      <c r="U86" s="111"/>
      <c r="V86" s="111"/>
      <c r="W86" s="111"/>
      <c r="X86" s="111"/>
      <c r="Y86" s="111"/>
    </row>
    <row r="87" ht="14.25" customHeight="1">
      <c r="B87" s="77"/>
      <c r="C87" s="77"/>
      <c r="D87" s="77" t="s">
        <v>443</v>
      </c>
      <c r="E87" s="77"/>
      <c r="F87" s="77"/>
      <c r="G87" s="77"/>
      <c r="H87" s="77"/>
      <c r="I87" s="42">
        <v>1570.0</v>
      </c>
      <c r="J87" s="136" t="s">
        <v>98</v>
      </c>
      <c r="K87" s="42">
        <v>1523.0</v>
      </c>
      <c r="L87" s="42">
        <v>1523.0</v>
      </c>
      <c r="M87" s="42">
        <v>1523.0</v>
      </c>
      <c r="N87" s="42">
        <v>1523.0</v>
      </c>
      <c r="O87" s="42">
        <v>1641.0</v>
      </c>
      <c r="P87" s="42">
        <v>1641.0</v>
      </c>
      <c r="Q87" s="42">
        <v>1523.0</v>
      </c>
      <c r="R87" s="42">
        <v>1523.0</v>
      </c>
      <c r="S87" s="111"/>
      <c r="T87" s="111"/>
      <c r="U87" s="111"/>
      <c r="V87" s="111"/>
      <c r="W87" s="111"/>
      <c r="X87" s="111"/>
      <c r="Y87" s="111"/>
    </row>
    <row r="88" ht="14.25" customHeight="1">
      <c r="B88" s="77"/>
      <c r="C88" s="77"/>
      <c r="D88" s="77" t="s">
        <v>444</v>
      </c>
      <c r="E88" s="77"/>
      <c r="F88" s="77"/>
      <c r="G88" s="77"/>
      <c r="H88" s="77"/>
      <c r="I88" s="42">
        <v>6280.0</v>
      </c>
      <c r="J88" s="136" t="s">
        <v>98</v>
      </c>
      <c r="K88" s="42">
        <v>0.0</v>
      </c>
      <c r="L88" s="42">
        <v>0.0</v>
      </c>
      <c r="M88" s="42">
        <v>6190.0</v>
      </c>
      <c r="N88" s="42">
        <v>6190.0</v>
      </c>
      <c r="O88" s="42">
        <v>0.0</v>
      </c>
      <c r="P88" s="42">
        <v>0.0</v>
      </c>
      <c r="Q88" s="42">
        <v>6190.0</v>
      </c>
      <c r="R88" s="42">
        <v>6190.0</v>
      </c>
      <c r="S88" s="111"/>
      <c r="T88" s="111"/>
      <c r="U88" s="111"/>
      <c r="V88" s="111"/>
      <c r="W88" s="111"/>
      <c r="X88" s="111"/>
      <c r="Y88" s="111"/>
    </row>
    <row r="89" ht="14.25" customHeight="1">
      <c r="B89" s="77"/>
      <c r="C89" s="77"/>
      <c r="D89" s="77" t="s">
        <v>193</v>
      </c>
      <c r="E89" s="77"/>
      <c r="F89" s="77"/>
      <c r="G89" s="77"/>
      <c r="H89" s="77"/>
      <c r="I89" s="42">
        <v>1920.0</v>
      </c>
      <c r="J89" s="136" t="s">
        <v>98</v>
      </c>
      <c r="K89" s="42">
        <v>1862.0</v>
      </c>
      <c r="L89" s="42">
        <v>1862.0</v>
      </c>
      <c r="M89" s="42">
        <v>1862.0</v>
      </c>
      <c r="N89" s="42">
        <v>1862.0</v>
      </c>
      <c r="O89" s="42">
        <v>1876.0</v>
      </c>
      <c r="P89" s="42">
        <v>1876.0</v>
      </c>
      <c r="Q89" s="42">
        <v>1876.0</v>
      </c>
      <c r="R89" s="42">
        <v>1876.0</v>
      </c>
      <c r="S89" s="111"/>
      <c r="T89" s="111"/>
      <c r="U89" s="111"/>
      <c r="V89" s="111"/>
      <c r="W89" s="111"/>
      <c r="X89" s="111"/>
      <c r="Y89" s="111"/>
    </row>
    <row r="90" ht="14.25" customHeight="1">
      <c r="B90" s="77"/>
      <c r="C90" s="77"/>
      <c r="D90" s="255" t="s">
        <v>194</v>
      </c>
      <c r="E90" s="256"/>
      <c r="F90" s="256"/>
      <c r="G90" s="256"/>
      <c r="H90" s="256"/>
      <c r="I90" s="42">
        <v>1673.0</v>
      </c>
      <c r="J90" s="136" t="s">
        <v>98</v>
      </c>
      <c r="K90" s="42">
        <v>0.0</v>
      </c>
      <c r="L90" s="42">
        <v>0.0</v>
      </c>
      <c r="M90" s="42">
        <v>0.0</v>
      </c>
      <c r="N90" s="42">
        <v>1673.0</v>
      </c>
      <c r="O90" s="42">
        <v>0.0</v>
      </c>
      <c r="P90" s="42">
        <v>0.0</v>
      </c>
      <c r="Q90" s="42">
        <v>0.0</v>
      </c>
      <c r="R90" s="42">
        <v>1673.0</v>
      </c>
      <c r="S90" s="111"/>
      <c r="T90" s="111"/>
      <c r="U90" s="111"/>
      <c r="V90" s="111"/>
      <c r="W90" s="111"/>
      <c r="X90" s="111"/>
      <c r="Y90" s="111"/>
    </row>
    <row r="91" ht="14.25" customHeight="1">
      <c r="B91" s="77" t="s">
        <v>195</v>
      </c>
      <c r="C91" s="77"/>
      <c r="D91" s="77"/>
      <c r="E91" s="77"/>
      <c r="F91" s="77"/>
      <c r="G91" s="77"/>
      <c r="H91" s="77"/>
      <c r="I91" s="159">
        <v>100.0</v>
      </c>
      <c r="J91" s="133" t="s">
        <v>35</v>
      </c>
      <c r="K91" s="208">
        <f>(I87+I89)/$I86*100</f>
        <v>30.49899502</v>
      </c>
      <c r="L91" s="208">
        <f>K91</f>
        <v>30.49899502</v>
      </c>
      <c r="M91" s="208">
        <v>5.22</v>
      </c>
      <c r="N91" s="208">
        <v>100.0</v>
      </c>
      <c r="O91" s="258">
        <f>(O87+O89)/I86*100</f>
        <v>30.73494713</v>
      </c>
      <c r="P91" s="258">
        <f>O91</f>
        <v>30.73494713</v>
      </c>
      <c r="Q91" s="42">
        <v>5.26</v>
      </c>
      <c r="R91" s="42">
        <v>100.0</v>
      </c>
      <c r="S91" s="46">
        <f t="shared" ref="S91:U91" si="66">IF(K91=0,0,IF((O91/K91*100)&gt;120,120,O91/K91*100))</f>
        <v>100.773639</v>
      </c>
      <c r="T91" s="46">
        <f t="shared" si="66"/>
        <v>100.773639</v>
      </c>
      <c r="U91" s="46">
        <f t="shared" si="66"/>
        <v>100.7662835</v>
      </c>
      <c r="V91" s="46">
        <f t="shared" ref="V91:Y91" si="67">IF($N91=0,0,IF((O91/$N91*100)&gt;120,120,O91/$N91*100))</f>
        <v>30.73494713</v>
      </c>
      <c r="W91" s="46">
        <f t="shared" si="67"/>
        <v>30.73494713</v>
      </c>
      <c r="X91" s="46">
        <f t="shared" si="67"/>
        <v>5.26</v>
      </c>
      <c r="Y91" s="46">
        <f t="shared" si="67"/>
        <v>100</v>
      </c>
    </row>
    <row r="92" ht="14.25" customHeight="1">
      <c r="B92" s="39"/>
      <c r="C92" s="39"/>
      <c r="D92" s="39"/>
      <c r="E92" s="39"/>
      <c r="F92" s="39"/>
      <c r="G92" s="39"/>
      <c r="H92" s="39"/>
      <c r="I92" s="39"/>
      <c r="J92" s="39"/>
      <c r="K92" s="39"/>
      <c r="L92" s="39"/>
      <c r="M92" s="39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</row>
    <row r="93" ht="14.25" customHeight="1">
      <c r="B93" s="260"/>
      <c r="C93" s="261"/>
      <c r="D93" s="262"/>
      <c r="E93" s="262"/>
      <c r="F93" s="262"/>
      <c r="G93" s="263" t="s">
        <v>445</v>
      </c>
      <c r="H93" s="262"/>
      <c r="I93" s="262"/>
      <c r="J93" s="262"/>
      <c r="K93" s="264"/>
      <c r="L93" s="264"/>
      <c r="M93" s="264"/>
      <c r="N93" s="264"/>
      <c r="O93" s="264"/>
      <c r="P93" s="264"/>
      <c r="Q93" s="264"/>
      <c r="R93" s="264"/>
      <c r="S93" s="265">
        <f t="shared" ref="S93:U93" si="68">IF(SUM(K75:K85,K91)&gt;0,SUM(S75:S85,S91)/SUM(COUNTIF(K75:K85,"&gt;0"),COUNTIF(K91,"&gt;0")),0)</f>
        <v>68.22439861</v>
      </c>
      <c r="T93" s="265">
        <f t="shared" si="68"/>
        <v>102.2430178</v>
      </c>
      <c r="U93" s="265">
        <f t="shared" si="68"/>
        <v>100.0829543</v>
      </c>
      <c r="V93" s="265">
        <f t="shared" ref="V93:Y93" si="69">IF(SUM($N75:$N92)&gt;0,SUM(V75:V92)/COUNTIF($N75:$N92,"&gt;0"),0)</f>
        <v>3.875170504</v>
      </c>
      <c r="W93" s="265">
        <f t="shared" si="69"/>
        <v>30.7501705</v>
      </c>
      <c r="X93" s="265">
        <f t="shared" si="69"/>
        <v>38.15691945</v>
      </c>
      <c r="Y93" s="265">
        <f t="shared" si="69"/>
        <v>68.75777916</v>
      </c>
    </row>
    <row r="94" ht="14.25" customHeight="1">
      <c r="V94" s="244">
        <f t="shared" ref="V94:Y94" si="70">AVERAGE(V76:V91)</f>
        <v>5.636611643</v>
      </c>
      <c r="W94" s="244">
        <f t="shared" si="70"/>
        <v>44.72752073</v>
      </c>
      <c r="X94" s="244">
        <f t="shared" si="70"/>
        <v>55.50097375</v>
      </c>
      <c r="Y94" s="244">
        <f t="shared" si="70"/>
        <v>100.0113151</v>
      </c>
    </row>
    <row r="95" ht="14.25" customHeight="1"/>
    <row r="96" ht="14.25" customHeight="1">
      <c r="B96" s="4" t="s">
        <v>197</v>
      </c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6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</row>
    <row r="97" ht="15.75" customHeight="1">
      <c r="B97" s="118" t="s">
        <v>2</v>
      </c>
      <c r="C97" s="8"/>
      <c r="D97" s="8"/>
      <c r="E97" s="8"/>
      <c r="F97" s="8"/>
      <c r="G97" s="8"/>
      <c r="H97" s="8"/>
      <c r="I97" s="120" t="s">
        <v>198</v>
      </c>
      <c r="J97" s="121" t="s">
        <v>3</v>
      </c>
      <c r="K97" s="11"/>
      <c r="L97" s="11"/>
      <c r="M97" s="11"/>
      <c r="N97" s="11"/>
      <c r="O97" s="11"/>
      <c r="P97" s="11"/>
      <c r="Q97" s="11"/>
      <c r="R97" s="12"/>
      <c r="S97" s="121" t="s">
        <v>4</v>
      </c>
      <c r="T97" s="11"/>
      <c r="U97" s="11"/>
      <c r="V97" s="11"/>
      <c r="W97" s="11"/>
      <c r="X97" s="11"/>
      <c r="Y97" s="12"/>
    </row>
    <row r="98" ht="14.25" customHeight="1">
      <c r="B98" s="13"/>
      <c r="I98" s="123"/>
      <c r="J98" s="124" t="s">
        <v>5</v>
      </c>
      <c r="K98" s="125" t="s">
        <v>62</v>
      </c>
      <c r="L98" s="17"/>
      <c r="M98" s="17"/>
      <c r="N98" s="18"/>
      <c r="O98" s="125" t="s">
        <v>63</v>
      </c>
      <c r="P98" s="17"/>
      <c r="Q98" s="17"/>
      <c r="R98" s="18"/>
      <c r="S98" s="125" t="s">
        <v>64</v>
      </c>
      <c r="T98" s="17"/>
      <c r="U98" s="18"/>
      <c r="V98" s="125" t="s">
        <v>9</v>
      </c>
      <c r="W98" s="17"/>
      <c r="X98" s="17"/>
      <c r="Y98" s="18"/>
    </row>
    <row r="99" ht="14.25" customHeight="1">
      <c r="B99" s="19"/>
      <c r="C99" s="20"/>
      <c r="D99" s="20"/>
      <c r="E99" s="20"/>
      <c r="F99" s="20"/>
      <c r="G99" s="20"/>
      <c r="H99" s="20"/>
      <c r="I99" s="22"/>
      <c r="J99" s="22"/>
      <c r="K99" s="127" t="s">
        <v>10</v>
      </c>
      <c r="L99" s="127" t="s">
        <v>11</v>
      </c>
      <c r="M99" s="127" t="s">
        <v>12</v>
      </c>
      <c r="N99" s="127" t="s">
        <v>13</v>
      </c>
      <c r="O99" s="127" t="s">
        <v>10</v>
      </c>
      <c r="P99" s="127" t="s">
        <v>11</v>
      </c>
      <c r="Q99" s="127" t="s">
        <v>12</v>
      </c>
      <c r="R99" s="127" t="s">
        <v>13</v>
      </c>
      <c r="S99" s="127" t="s">
        <v>10</v>
      </c>
      <c r="T99" s="127" t="s">
        <v>11</v>
      </c>
      <c r="U99" s="127" t="s">
        <v>12</v>
      </c>
      <c r="V99" s="127" t="s">
        <v>10</v>
      </c>
      <c r="W99" s="127" t="s">
        <v>11</v>
      </c>
      <c r="X99" s="127" t="s">
        <v>12</v>
      </c>
      <c r="Y99" s="127" t="s">
        <v>13</v>
      </c>
    </row>
    <row r="100" ht="14.25" customHeight="1">
      <c r="B100" s="129">
        <v>-1.0</v>
      </c>
      <c r="C100" s="27"/>
      <c r="D100" s="27"/>
      <c r="E100" s="27"/>
      <c r="F100" s="27"/>
      <c r="G100" s="27"/>
      <c r="H100" s="27"/>
      <c r="I100" s="248"/>
      <c r="J100" s="131">
        <v>-2.0</v>
      </c>
      <c r="K100" s="131">
        <v>-3.0</v>
      </c>
      <c r="L100" s="131">
        <v>-4.0</v>
      </c>
      <c r="M100" s="131">
        <v>-5.0</v>
      </c>
      <c r="N100" s="131">
        <v>-6.0</v>
      </c>
      <c r="O100" s="131">
        <v>-7.0</v>
      </c>
      <c r="P100" s="131">
        <v>-8.0</v>
      </c>
      <c r="Q100" s="131">
        <v>-9.0</v>
      </c>
      <c r="R100" s="131">
        <v>-10.0</v>
      </c>
      <c r="S100" s="131">
        <v>-11.0</v>
      </c>
      <c r="T100" s="131">
        <v>-12.0</v>
      </c>
      <c r="U100" s="131">
        <v>-13.0</v>
      </c>
      <c r="V100" s="131">
        <v>-14.0</v>
      </c>
      <c r="W100" s="131">
        <v>-15.0</v>
      </c>
      <c r="X100" s="131">
        <v>-16.0</v>
      </c>
      <c r="Y100" s="131">
        <v>-17.0</v>
      </c>
    </row>
    <row r="101" ht="14.25" customHeight="1">
      <c r="B101" s="35"/>
      <c r="C101" s="35"/>
      <c r="D101" s="35"/>
      <c r="E101" s="35"/>
      <c r="F101" s="35"/>
      <c r="G101" s="35"/>
      <c r="H101" s="35"/>
      <c r="I101" s="35"/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</row>
    <row r="102" ht="14.25" customHeight="1">
      <c r="B102" s="77" t="s">
        <v>199</v>
      </c>
      <c r="C102" s="77"/>
      <c r="D102" s="77"/>
      <c r="E102" s="77"/>
      <c r="F102" s="77"/>
      <c r="G102" s="77"/>
      <c r="H102" s="77"/>
      <c r="I102" s="159">
        <v>9.0</v>
      </c>
      <c r="J102" s="133" t="s">
        <v>85</v>
      </c>
      <c r="K102" s="135">
        <f t="shared" ref="K102:R102" si="71">SUM(K103:K104)</f>
        <v>0</v>
      </c>
      <c r="L102" s="135">
        <f t="shared" si="71"/>
        <v>3</v>
      </c>
      <c r="M102" s="249">
        <f t="shared" si="71"/>
        <v>6</v>
      </c>
      <c r="N102" s="250">
        <f t="shared" si="71"/>
        <v>9</v>
      </c>
      <c r="O102" s="251">
        <f t="shared" si="71"/>
        <v>0</v>
      </c>
      <c r="P102" s="135">
        <f t="shared" si="71"/>
        <v>3</v>
      </c>
      <c r="Q102" s="135">
        <f t="shared" si="71"/>
        <v>6</v>
      </c>
      <c r="R102" s="135">
        <f t="shared" si="71"/>
        <v>9</v>
      </c>
      <c r="S102" s="46">
        <f t="shared" ref="S102:U102" si="72">IF(K102=0,0,IF((O102/K102*100)&gt;120,120,O102/K102*100))</f>
        <v>0</v>
      </c>
      <c r="T102" s="46">
        <f t="shared" si="72"/>
        <v>100</v>
      </c>
      <c r="U102" s="46">
        <f t="shared" si="72"/>
        <v>100</v>
      </c>
      <c r="V102" s="46">
        <f t="shared" ref="V102:Y102" si="73">IF($N102=0,0,IF((O102/$N102*100)&gt;120,120,O102/$N102*100))</f>
        <v>0</v>
      </c>
      <c r="W102" s="46">
        <f t="shared" si="73"/>
        <v>33.33333333</v>
      </c>
      <c r="X102" s="46">
        <f t="shared" si="73"/>
        <v>66.66666667</v>
      </c>
      <c r="Y102" s="46">
        <f t="shared" si="73"/>
        <v>100</v>
      </c>
    </row>
    <row r="103" ht="14.25" customHeight="1">
      <c r="B103" s="77"/>
      <c r="C103" s="77" t="s">
        <v>200</v>
      </c>
      <c r="D103" s="77"/>
      <c r="E103" s="77"/>
      <c r="F103" s="77"/>
      <c r="G103" s="77"/>
      <c r="H103" s="77"/>
      <c r="I103" s="159">
        <v>7.0</v>
      </c>
      <c r="J103" s="136" t="s">
        <v>87</v>
      </c>
      <c r="K103" s="42">
        <v>0.0</v>
      </c>
      <c r="L103" s="42">
        <v>2.0</v>
      </c>
      <c r="M103" s="42">
        <v>5.0</v>
      </c>
      <c r="N103" s="42">
        <v>7.0</v>
      </c>
      <c r="O103" s="42">
        <v>0.0</v>
      </c>
      <c r="P103" s="42">
        <v>2.0</v>
      </c>
      <c r="Q103" s="42">
        <v>5.0</v>
      </c>
      <c r="R103" s="42">
        <v>7.0</v>
      </c>
      <c r="S103" s="46">
        <f t="shared" ref="S103:U103" si="74">IF(K103=0,0,IF((O103/K103*100)&gt;120,120,O103/K103*100))</f>
        <v>0</v>
      </c>
      <c r="T103" s="46">
        <f t="shared" si="74"/>
        <v>100</v>
      </c>
      <c r="U103" s="46">
        <f t="shared" si="74"/>
        <v>100</v>
      </c>
      <c r="V103" s="46">
        <f t="shared" ref="V103:Y103" si="75">IF($N103=0,0,IF((O103/$N103*100)&gt;120,120,O103/$N103*100))</f>
        <v>0</v>
      </c>
      <c r="W103" s="46">
        <f t="shared" si="75"/>
        <v>28.57142857</v>
      </c>
      <c r="X103" s="46">
        <f t="shared" si="75"/>
        <v>71.42857143</v>
      </c>
      <c r="Y103" s="46">
        <f t="shared" si="75"/>
        <v>100</v>
      </c>
    </row>
    <row r="104" ht="14.25" customHeight="1">
      <c r="B104" s="77"/>
      <c r="C104" s="77" t="s">
        <v>201</v>
      </c>
      <c r="D104" s="77"/>
      <c r="E104" s="77"/>
      <c r="F104" s="77"/>
      <c r="G104" s="77"/>
      <c r="H104" s="77"/>
      <c r="I104" s="159">
        <v>2.0</v>
      </c>
      <c r="J104" s="136" t="s">
        <v>66</v>
      </c>
      <c r="K104" s="42">
        <v>0.0</v>
      </c>
      <c r="L104" s="42">
        <v>1.0</v>
      </c>
      <c r="M104" s="42">
        <v>1.0</v>
      </c>
      <c r="N104" s="42">
        <v>2.0</v>
      </c>
      <c r="O104" s="42">
        <v>0.0</v>
      </c>
      <c r="P104" s="42">
        <v>1.0</v>
      </c>
      <c r="Q104" s="42">
        <v>1.0</v>
      </c>
      <c r="R104" s="42">
        <v>2.0</v>
      </c>
      <c r="S104" s="46">
        <f t="shared" ref="S104:U104" si="76">IF(K104=0,0,IF((O104/K104*100)&gt;120,120,O104/K104*100))</f>
        <v>0</v>
      </c>
      <c r="T104" s="46">
        <f t="shared" si="76"/>
        <v>100</v>
      </c>
      <c r="U104" s="46">
        <f t="shared" si="76"/>
        <v>100</v>
      </c>
      <c r="V104" s="46">
        <f t="shared" ref="V104:Y104" si="77">IF($N104=0,0,IF((O104/$N104*100)&gt;120,120,O104/$N104*100))</f>
        <v>0</v>
      </c>
      <c r="W104" s="46">
        <f t="shared" si="77"/>
        <v>50</v>
      </c>
      <c r="X104" s="46">
        <f t="shared" si="77"/>
        <v>50</v>
      </c>
      <c r="Y104" s="46">
        <f t="shared" si="77"/>
        <v>100</v>
      </c>
    </row>
    <row r="105" ht="14.25" customHeight="1">
      <c r="B105" s="77" t="s">
        <v>202</v>
      </c>
      <c r="C105" s="77"/>
      <c r="D105" s="77"/>
      <c r="E105" s="77"/>
      <c r="F105" s="77"/>
      <c r="G105" s="77"/>
      <c r="H105" s="77"/>
      <c r="I105" s="159">
        <v>9.0</v>
      </c>
      <c r="J105" s="133" t="s">
        <v>85</v>
      </c>
      <c r="K105" s="135">
        <f t="shared" ref="K105:R105" si="78">SUM(K106:K107)</f>
        <v>0</v>
      </c>
      <c r="L105" s="135">
        <f t="shared" si="78"/>
        <v>3</v>
      </c>
      <c r="M105" s="135">
        <f t="shared" si="78"/>
        <v>6</v>
      </c>
      <c r="N105" s="250">
        <f t="shared" si="78"/>
        <v>9</v>
      </c>
      <c r="O105" s="135">
        <f t="shared" si="78"/>
        <v>0</v>
      </c>
      <c r="P105" s="135">
        <f t="shared" si="78"/>
        <v>3</v>
      </c>
      <c r="Q105" s="135">
        <f t="shared" si="78"/>
        <v>6</v>
      </c>
      <c r="R105" s="135">
        <f t="shared" si="78"/>
        <v>9</v>
      </c>
      <c r="S105" s="46">
        <f t="shared" ref="S105:U105" si="79">IF(K105=0,0,IF((O105/K105*100)&gt;120,120,O105/K105*100))</f>
        <v>0</v>
      </c>
      <c r="T105" s="46">
        <f t="shared" si="79"/>
        <v>100</v>
      </c>
      <c r="U105" s="46">
        <f t="shared" si="79"/>
        <v>100</v>
      </c>
      <c r="V105" s="46">
        <f t="shared" ref="V105:Y105" si="80">IF($N105=0,0,IF((O105/$N105*100)&gt;120,120,O105/$N105*100))</f>
        <v>0</v>
      </c>
      <c r="W105" s="46">
        <f t="shared" si="80"/>
        <v>33.33333333</v>
      </c>
      <c r="X105" s="46">
        <f t="shared" si="80"/>
        <v>66.66666667</v>
      </c>
      <c r="Y105" s="46">
        <f t="shared" si="80"/>
        <v>100</v>
      </c>
    </row>
    <row r="106" ht="14.25" customHeight="1">
      <c r="B106" s="77"/>
      <c r="C106" s="77" t="s">
        <v>203</v>
      </c>
      <c r="D106" s="77"/>
      <c r="E106" s="77"/>
      <c r="F106" s="77"/>
      <c r="G106" s="77"/>
      <c r="H106" s="77"/>
      <c r="I106" s="159">
        <v>7.0</v>
      </c>
      <c r="J106" s="136" t="s">
        <v>87</v>
      </c>
      <c r="K106" s="42">
        <v>0.0</v>
      </c>
      <c r="L106" s="42">
        <v>2.0</v>
      </c>
      <c r="M106" s="42">
        <v>5.0</v>
      </c>
      <c r="N106" s="42">
        <v>7.0</v>
      </c>
      <c r="O106" s="42">
        <v>0.0</v>
      </c>
      <c r="P106" s="42">
        <v>2.0</v>
      </c>
      <c r="Q106" s="42">
        <v>5.0</v>
      </c>
      <c r="R106" s="42">
        <v>7.0</v>
      </c>
      <c r="S106" s="46">
        <f t="shared" ref="S106:U106" si="81">IF(K106=0,0,IF((O106/K106*100)&gt;120,120,O106/K106*100))</f>
        <v>0</v>
      </c>
      <c r="T106" s="46">
        <f t="shared" si="81"/>
        <v>100</v>
      </c>
      <c r="U106" s="46">
        <f t="shared" si="81"/>
        <v>100</v>
      </c>
      <c r="V106" s="46">
        <f t="shared" ref="V106:Y106" si="82">IF($N106=0,0,IF((O106/$N106*100)&gt;120,120,O106/$N106*100))</f>
        <v>0</v>
      </c>
      <c r="W106" s="46">
        <f t="shared" si="82"/>
        <v>28.57142857</v>
      </c>
      <c r="X106" s="46">
        <f t="shared" si="82"/>
        <v>71.42857143</v>
      </c>
      <c r="Y106" s="46">
        <f t="shared" si="82"/>
        <v>100</v>
      </c>
    </row>
    <row r="107" ht="14.25" customHeight="1">
      <c r="B107" s="77"/>
      <c r="C107" s="77" t="s">
        <v>204</v>
      </c>
      <c r="D107" s="77"/>
      <c r="E107" s="77"/>
      <c r="F107" s="77"/>
      <c r="G107" s="77"/>
      <c r="H107" s="77"/>
      <c r="I107" s="159">
        <v>2.0</v>
      </c>
      <c r="J107" s="136" t="s">
        <v>66</v>
      </c>
      <c r="K107" s="42">
        <v>0.0</v>
      </c>
      <c r="L107" s="42">
        <v>1.0</v>
      </c>
      <c r="M107" s="42">
        <v>1.0</v>
      </c>
      <c r="N107" s="42">
        <v>2.0</v>
      </c>
      <c r="O107" s="42">
        <v>0.0</v>
      </c>
      <c r="P107" s="42">
        <v>1.0</v>
      </c>
      <c r="Q107" s="42">
        <v>1.0</v>
      </c>
      <c r="R107" s="42">
        <v>2.0</v>
      </c>
      <c r="S107" s="46">
        <f t="shared" ref="S107:U107" si="83">IF(K107=0,0,IF((O107/K107*100)&gt;120,120,O107/K107*100))</f>
        <v>0</v>
      </c>
      <c r="T107" s="46">
        <f t="shared" si="83"/>
        <v>100</v>
      </c>
      <c r="U107" s="46">
        <f t="shared" si="83"/>
        <v>100</v>
      </c>
      <c r="V107" s="46">
        <f t="shared" ref="V107:Y107" si="84">IF($N107=0,0,IF((O107/$N107*100)&gt;120,120,O107/$N107*100))</f>
        <v>0</v>
      </c>
      <c r="W107" s="46">
        <f t="shared" si="84"/>
        <v>50</v>
      </c>
      <c r="X107" s="46">
        <f t="shared" si="84"/>
        <v>50</v>
      </c>
      <c r="Y107" s="46">
        <f t="shared" si="84"/>
        <v>100</v>
      </c>
    </row>
    <row r="108" ht="14.25" customHeight="1">
      <c r="B108" s="77" t="s">
        <v>205</v>
      </c>
      <c r="C108" s="77"/>
      <c r="D108" s="77"/>
      <c r="E108" s="77"/>
      <c r="F108" s="77"/>
      <c r="G108" s="77"/>
      <c r="H108" s="77"/>
      <c r="I108" s="159">
        <v>7.0</v>
      </c>
      <c r="J108" s="133" t="s">
        <v>87</v>
      </c>
      <c r="K108" s="42">
        <v>0.0</v>
      </c>
      <c r="L108" s="42">
        <v>2.0</v>
      </c>
      <c r="M108" s="42">
        <v>5.0</v>
      </c>
      <c r="N108" s="42">
        <v>7.0</v>
      </c>
      <c r="O108" s="42">
        <v>0.0</v>
      </c>
      <c r="P108" s="42">
        <v>2.0</v>
      </c>
      <c r="Q108" s="42">
        <v>5.0</v>
      </c>
      <c r="R108" s="42">
        <v>7.0</v>
      </c>
      <c r="S108" s="46">
        <f t="shared" ref="S108:U108" si="85">IF(K108=0,0,IF((O108/K108*100)&gt;120,120,O108/K108*100))</f>
        <v>0</v>
      </c>
      <c r="T108" s="46">
        <f t="shared" si="85"/>
        <v>100</v>
      </c>
      <c r="U108" s="46">
        <f t="shared" si="85"/>
        <v>100</v>
      </c>
      <c r="V108" s="46">
        <f t="shared" ref="V108:Y108" si="86">IF($N108=0,0,IF((O108/$N108*100)&gt;120,120,O108/$N108*100))</f>
        <v>0</v>
      </c>
      <c r="W108" s="46">
        <f t="shared" si="86"/>
        <v>28.57142857</v>
      </c>
      <c r="X108" s="46">
        <f t="shared" si="86"/>
        <v>71.42857143</v>
      </c>
      <c r="Y108" s="46">
        <f t="shared" si="86"/>
        <v>100</v>
      </c>
    </row>
    <row r="109" ht="14.25" customHeight="1">
      <c r="B109" s="77" t="s">
        <v>206</v>
      </c>
      <c r="C109" s="77"/>
      <c r="D109" s="77"/>
      <c r="E109" s="77"/>
      <c r="F109" s="77"/>
      <c r="G109" s="77"/>
      <c r="H109" s="77"/>
      <c r="I109" s="159">
        <v>0.0</v>
      </c>
      <c r="J109" s="133" t="s">
        <v>95</v>
      </c>
      <c r="K109" s="42">
        <v>0.0</v>
      </c>
      <c r="L109" s="42">
        <v>0.0</v>
      </c>
      <c r="M109" s="42">
        <v>0.0</v>
      </c>
      <c r="N109" s="42">
        <v>0.0</v>
      </c>
      <c r="O109" s="42">
        <v>0.0</v>
      </c>
      <c r="P109" s="42">
        <v>0.0</v>
      </c>
      <c r="Q109" s="42">
        <v>0.0</v>
      </c>
      <c r="R109" s="42">
        <v>0.0</v>
      </c>
      <c r="S109" s="46">
        <f t="shared" ref="S109:U109" si="87">IF(K109=0,0,IF((O109/K109*100)&gt;120,120,O109/K109*100))</f>
        <v>0</v>
      </c>
      <c r="T109" s="46">
        <f t="shared" si="87"/>
        <v>0</v>
      </c>
      <c r="U109" s="46">
        <f t="shared" si="87"/>
        <v>0</v>
      </c>
      <c r="V109" s="46">
        <f t="shared" ref="V109:Y109" si="88">IF($N109=0,0,IF((O109/$N109*100)&gt;120,120,O109/$N109*100))</f>
        <v>0</v>
      </c>
      <c r="W109" s="46">
        <f t="shared" si="88"/>
        <v>0</v>
      </c>
      <c r="X109" s="46">
        <f t="shared" si="88"/>
        <v>0</v>
      </c>
      <c r="Y109" s="46">
        <f t="shared" si="88"/>
        <v>0</v>
      </c>
    </row>
    <row r="110" ht="14.25" customHeight="1">
      <c r="B110" s="77" t="s">
        <v>207</v>
      </c>
      <c r="C110" s="77"/>
      <c r="D110" s="77"/>
      <c r="E110" s="77"/>
      <c r="F110" s="77"/>
      <c r="G110" s="77"/>
      <c r="H110" s="77"/>
      <c r="I110" s="159">
        <v>100.0</v>
      </c>
      <c r="J110" s="133" t="s">
        <v>35</v>
      </c>
      <c r="K110" s="254">
        <f t="shared" ref="K110:R110" si="89">IF($I111=0,0,AVERAGE(IF($I111&gt;0,K111/$I111*100,0)))</f>
        <v>0</v>
      </c>
      <c r="L110" s="254">
        <f t="shared" si="89"/>
        <v>79.9882904</v>
      </c>
      <c r="M110" s="254">
        <f t="shared" si="89"/>
        <v>79.9882904</v>
      </c>
      <c r="N110" s="254">
        <f t="shared" si="89"/>
        <v>98.00936768</v>
      </c>
      <c r="O110" s="254">
        <f t="shared" si="89"/>
        <v>0</v>
      </c>
      <c r="P110" s="254">
        <f t="shared" si="89"/>
        <v>80.98360656</v>
      </c>
      <c r="Q110" s="254">
        <f t="shared" si="89"/>
        <v>80.98360656</v>
      </c>
      <c r="R110" s="254">
        <f t="shared" si="89"/>
        <v>99.3676815</v>
      </c>
      <c r="S110" s="46">
        <f t="shared" ref="S110:U110" si="90">IF(K110=0,0,IF((O110/K110*100)&gt;120,120,O110/K110*100))</f>
        <v>0</v>
      </c>
      <c r="T110" s="46">
        <f t="shared" si="90"/>
        <v>101.2443273</v>
      </c>
      <c r="U110" s="46">
        <f t="shared" si="90"/>
        <v>101.2443273</v>
      </c>
      <c r="V110" s="46">
        <f t="shared" ref="V110:Y110" si="91">IF($N110=0,0,IF((O110/$N110*100)&gt;120,120,O110/$N110*100))</f>
        <v>0</v>
      </c>
      <c r="W110" s="46">
        <f t="shared" si="91"/>
        <v>82.62843489</v>
      </c>
      <c r="X110" s="46">
        <f t="shared" si="91"/>
        <v>82.62843489</v>
      </c>
      <c r="Y110" s="46">
        <f t="shared" si="91"/>
        <v>101.385902</v>
      </c>
    </row>
    <row r="111" ht="14.25" customHeight="1">
      <c r="B111" s="77"/>
      <c r="C111" s="77" t="s">
        <v>208</v>
      </c>
      <c r="D111" s="77"/>
      <c r="E111" s="77"/>
      <c r="F111" s="77"/>
      <c r="G111" s="77"/>
      <c r="H111" s="77"/>
      <c r="I111" s="42">
        <f>SUM(I112:I113)</f>
        <v>8540</v>
      </c>
      <c r="J111" s="136" t="s">
        <v>98</v>
      </c>
      <c r="K111" s="42">
        <v>0.0</v>
      </c>
      <c r="L111" s="42">
        <v>6831.0</v>
      </c>
      <c r="M111" s="42">
        <v>6831.0</v>
      </c>
      <c r="N111" s="42">
        <v>8370.0</v>
      </c>
      <c r="O111" s="42">
        <v>0.0</v>
      </c>
      <c r="P111" s="42">
        <f>SUM(P112:P113)</f>
        <v>6916</v>
      </c>
      <c r="Q111" s="42">
        <f t="shared" ref="Q111:Q112" si="92">P111</f>
        <v>6916</v>
      </c>
      <c r="R111" s="42">
        <f>SUM(R112:R113)</f>
        <v>8486</v>
      </c>
      <c r="S111" s="111"/>
      <c r="T111" s="111"/>
      <c r="U111" s="111"/>
      <c r="V111" s="111"/>
      <c r="W111" s="111"/>
      <c r="X111" s="111"/>
      <c r="Y111" s="111"/>
    </row>
    <row r="112" ht="14.25" customHeight="1">
      <c r="B112" s="77"/>
      <c r="C112" s="77"/>
      <c r="D112" s="77" t="s">
        <v>209</v>
      </c>
      <c r="E112" s="77"/>
      <c r="F112" s="77"/>
      <c r="G112" s="77"/>
      <c r="H112" s="77"/>
      <c r="I112" s="42">
        <v>6970.0</v>
      </c>
      <c r="J112" s="136" t="s">
        <v>98</v>
      </c>
      <c r="K112" s="42">
        <v>0.0</v>
      </c>
      <c r="L112" s="42">
        <v>6831.0</v>
      </c>
      <c r="M112" s="42">
        <v>6831.0</v>
      </c>
      <c r="N112" s="42">
        <v>6831.0</v>
      </c>
      <c r="O112" s="42">
        <v>0.0</v>
      </c>
      <c r="P112" s="42">
        <v>6916.0</v>
      </c>
      <c r="Q112" s="42">
        <f t="shared" si="92"/>
        <v>6916</v>
      </c>
      <c r="R112" s="42">
        <v>6916.0</v>
      </c>
      <c r="S112" s="111"/>
      <c r="T112" s="111"/>
      <c r="U112" s="111"/>
      <c r="V112" s="111"/>
      <c r="W112" s="111"/>
      <c r="X112" s="111"/>
      <c r="Y112" s="111"/>
    </row>
    <row r="113" ht="14.25" customHeight="1">
      <c r="B113" s="77"/>
      <c r="C113" s="77"/>
      <c r="D113" s="77" t="s">
        <v>210</v>
      </c>
      <c r="E113" s="77"/>
      <c r="F113" s="77"/>
      <c r="G113" s="77"/>
      <c r="H113" s="77"/>
      <c r="I113" s="42">
        <v>1570.0</v>
      </c>
      <c r="J113" s="136" t="s">
        <v>98</v>
      </c>
      <c r="K113" s="42">
        <v>0.0</v>
      </c>
      <c r="L113" s="42">
        <v>0.0</v>
      </c>
      <c r="M113" s="42">
        <v>0.0</v>
      </c>
      <c r="N113" s="42">
        <v>1539.0</v>
      </c>
      <c r="O113" s="42">
        <v>0.0</v>
      </c>
      <c r="P113" s="42">
        <v>0.0</v>
      </c>
      <c r="Q113" s="42">
        <v>0.0</v>
      </c>
      <c r="R113" s="42">
        <v>1570.0</v>
      </c>
      <c r="S113" s="111"/>
      <c r="T113" s="111"/>
      <c r="U113" s="111"/>
      <c r="V113" s="111"/>
      <c r="W113" s="111"/>
      <c r="X113" s="111"/>
      <c r="Y113" s="111"/>
    </row>
    <row r="114" ht="14.25" customHeight="1">
      <c r="B114" s="77" t="s">
        <v>211</v>
      </c>
      <c r="C114" s="77"/>
      <c r="D114" s="77"/>
      <c r="E114" s="77"/>
      <c r="F114" s="77"/>
      <c r="G114" s="77"/>
      <c r="H114" s="77"/>
      <c r="I114" s="159">
        <v>100.0</v>
      </c>
      <c r="J114" s="133" t="s">
        <v>35</v>
      </c>
      <c r="K114" s="42">
        <v>0.0</v>
      </c>
      <c r="L114" s="268">
        <f>I112/I111*100</f>
        <v>81.61592506</v>
      </c>
      <c r="M114" s="268">
        <f>L114</f>
        <v>81.61592506</v>
      </c>
      <c r="N114" s="268">
        <f>(I113+I112)/I111*100</f>
        <v>100</v>
      </c>
      <c r="O114" s="42">
        <v>0.0</v>
      </c>
      <c r="P114" s="143">
        <f>L114</f>
        <v>81.61592506</v>
      </c>
      <c r="Q114" s="143">
        <f>P114</f>
        <v>81.61592506</v>
      </c>
      <c r="R114" s="42">
        <v>100.0</v>
      </c>
      <c r="S114" s="46">
        <f t="shared" ref="S114:U114" si="93">IF(K114=0,0,IF((O114/K114*100)&gt;120,120,O114/K114*100))</f>
        <v>0</v>
      </c>
      <c r="T114" s="46">
        <f t="shared" si="93"/>
        <v>100</v>
      </c>
      <c r="U114" s="46">
        <f t="shared" si="93"/>
        <v>100</v>
      </c>
      <c r="V114" s="46">
        <f t="shared" ref="V114:Y114" si="94">IF($N114=0,0,IF((O114/$N114*100)&gt;120,120,O114/$N114*100))</f>
        <v>0</v>
      </c>
      <c r="W114" s="46">
        <f t="shared" si="94"/>
        <v>81.61592506</v>
      </c>
      <c r="X114" s="46">
        <f t="shared" si="94"/>
        <v>81.61592506</v>
      </c>
      <c r="Y114" s="46">
        <f t="shared" si="94"/>
        <v>100</v>
      </c>
    </row>
    <row r="115" ht="14.25" customHeight="1">
      <c r="B115" s="39"/>
      <c r="C115" s="39"/>
      <c r="D115" s="39"/>
      <c r="E115" s="39"/>
      <c r="F115" s="39"/>
      <c r="G115" s="39"/>
      <c r="H115" s="39"/>
      <c r="I115" s="39"/>
      <c r="J115" s="39"/>
      <c r="K115" s="39"/>
      <c r="L115" s="39"/>
      <c r="M115" s="39"/>
      <c r="N115" s="39"/>
      <c r="O115" s="39"/>
      <c r="P115" s="39"/>
      <c r="Q115" s="39"/>
      <c r="R115" s="39"/>
      <c r="S115" s="39"/>
      <c r="T115" s="39"/>
      <c r="U115" s="39"/>
      <c r="V115" s="39"/>
      <c r="W115" s="39"/>
      <c r="X115" s="39"/>
      <c r="Y115" s="39"/>
    </row>
    <row r="116" ht="14.25" customHeight="1">
      <c r="B116" s="260"/>
      <c r="C116" s="261"/>
      <c r="D116" s="262"/>
      <c r="E116" s="262"/>
      <c r="F116" s="262"/>
      <c r="G116" s="263" t="s">
        <v>446</v>
      </c>
      <c r="H116" s="262"/>
      <c r="I116" s="262"/>
      <c r="J116" s="262"/>
      <c r="K116" s="264"/>
      <c r="L116" s="264"/>
      <c r="M116" s="264"/>
      <c r="N116" s="264"/>
      <c r="O116" s="264"/>
      <c r="P116" s="264"/>
      <c r="Q116" s="264"/>
      <c r="R116" s="264"/>
      <c r="S116" s="265">
        <f t="shared" ref="S116:U116" si="95">IF(SUM(K101:K110,K114)&gt;0,SUM(S101:S110,S114)/SUM(COUNTIF(K101:K110,"&gt;0"),COUNTIF(K114,"&gt;0")),0)</f>
        <v>0</v>
      </c>
      <c r="T116" s="265">
        <f t="shared" si="95"/>
        <v>100.1382586</v>
      </c>
      <c r="U116" s="265">
        <f t="shared" si="95"/>
        <v>100.1382586</v>
      </c>
      <c r="V116" s="265">
        <f t="shared" ref="V116:Y116" si="96">IF(SUM($N101:$N115)&gt;0,SUM(V101:V115)/COUNTIF($N101:$N115,"&gt;0"),0)</f>
        <v>0</v>
      </c>
      <c r="W116" s="265">
        <f t="shared" si="96"/>
        <v>34.71877603</v>
      </c>
      <c r="X116" s="265">
        <f t="shared" si="96"/>
        <v>50.9886173</v>
      </c>
      <c r="Y116" s="265">
        <f t="shared" si="96"/>
        <v>75.11549184</v>
      </c>
    </row>
    <row r="117" ht="14.25" customHeight="1">
      <c r="V117" s="244">
        <f t="shared" ref="V117:Y117" si="97">AVERAGE(V102:V114)</f>
        <v>0</v>
      </c>
      <c r="W117" s="244">
        <f t="shared" si="97"/>
        <v>41.66253123</v>
      </c>
      <c r="X117" s="244">
        <f t="shared" si="97"/>
        <v>61.18634076</v>
      </c>
      <c r="Y117" s="244">
        <f t="shared" si="97"/>
        <v>90.1385902</v>
      </c>
    </row>
    <row r="118" ht="14.25" customHeight="1">
      <c r="V118" s="244">
        <f t="shared" ref="V118:Y118" si="98">SUM(V102:V114)/9</f>
        <v>0</v>
      </c>
      <c r="W118" s="244">
        <f t="shared" si="98"/>
        <v>46.29170137</v>
      </c>
      <c r="X118" s="244">
        <f t="shared" si="98"/>
        <v>67.98482306</v>
      </c>
      <c r="Y118" s="244">
        <f t="shared" si="98"/>
        <v>100.1539891</v>
      </c>
    </row>
    <row r="119" ht="14.25" customHeight="1">
      <c r="B119" s="4" t="s">
        <v>213</v>
      </c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6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</row>
    <row r="120" ht="15.75" customHeight="1">
      <c r="B120" s="118" t="s">
        <v>2</v>
      </c>
      <c r="C120" s="8"/>
      <c r="D120" s="8"/>
      <c r="E120" s="8"/>
      <c r="F120" s="8"/>
      <c r="G120" s="8"/>
      <c r="H120" s="8"/>
      <c r="I120" s="247"/>
      <c r="J120" s="121" t="s">
        <v>3</v>
      </c>
      <c r="K120" s="11"/>
      <c r="L120" s="11"/>
      <c r="M120" s="11"/>
      <c r="N120" s="11"/>
      <c r="O120" s="11"/>
      <c r="P120" s="11"/>
      <c r="Q120" s="11"/>
      <c r="R120" s="12"/>
      <c r="S120" s="121" t="s">
        <v>4</v>
      </c>
      <c r="T120" s="11"/>
      <c r="U120" s="11"/>
      <c r="V120" s="11"/>
      <c r="W120" s="11"/>
      <c r="X120" s="11"/>
      <c r="Y120" s="12"/>
    </row>
    <row r="121" ht="14.25" customHeight="1">
      <c r="B121" s="13"/>
      <c r="I121" s="92"/>
      <c r="J121" s="124" t="s">
        <v>5</v>
      </c>
      <c r="K121" s="125" t="s">
        <v>62</v>
      </c>
      <c r="L121" s="17"/>
      <c r="M121" s="17"/>
      <c r="N121" s="18"/>
      <c r="O121" s="125" t="s">
        <v>63</v>
      </c>
      <c r="P121" s="17"/>
      <c r="Q121" s="17"/>
      <c r="R121" s="18"/>
      <c r="S121" s="125" t="s">
        <v>64</v>
      </c>
      <c r="T121" s="17"/>
      <c r="U121" s="18"/>
      <c r="V121" s="125" t="s">
        <v>9</v>
      </c>
      <c r="W121" s="17"/>
      <c r="X121" s="17"/>
      <c r="Y121" s="18"/>
    </row>
    <row r="122" ht="14.25" customHeight="1">
      <c r="B122" s="19"/>
      <c r="C122" s="20"/>
      <c r="D122" s="20"/>
      <c r="E122" s="20"/>
      <c r="F122" s="20"/>
      <c r="G122" s="20"/>
      <c r="H122" s="20"/>
      <c r="I122" s="21"/>
      <c r="J122" s="22"/>
      <c r="K122" s="127" t="s">
        <v>10</v>
      </c>
      <c r="L122" s="127" t="s">
        <v>11</v>
      </c>
      <c r="M122" s="127" t="s">
        <v>12</v>
      </c>
      <c r="N122" s="127" t="s">
        <v>13</v>
      </c>
      <c r="O122" s="127" t="s">
        <v>10</v>
      </c>
      <c r="P122" s="127" t="s">
        <v>11</v>
      </c>
      <c r="Q122" s="127" t="s">
        <v>12</v>
      </c>
      <c r="R122" s="127" t="s">
        <v>13</v>
      </c>
      <c r="S122" s="127" t="s">
        <v>10</v>
      </c>
      <c r="T122" s="127" t="s">
        <v>11</v>
      </c>
      <c r="U122" s="127" t="s">
        <v>12</v>
      </c>
      <c r="V122" s="127" t="s">
        <v>10</v>
      </c>
      <c r="W122" s="127" t="s">
        <v>11</v>
      </c>
      <c r="X122" s="127" t="s">
        <v>12</v>
      </c>
      <c r="Y122" s="127" t="s">
        <v>13</v>
      </c>
    </row>
    <row r="123" ht="14.25" customHeight="1">
      <c r="B123" s="129">
        <v>-1.0</v>
      </c>
      <c r="C123" s="27"/>
      <c r="D123" s="27"/>
      <c r="E123" s="27"/>
      <c r="F123" s="27"/>
      <c r="G123" s="27"/>
      <c r="H123" s="27"/>
      <c r="I123" s="248"/>
      <c r="J123" s="131">
        <v>-2.0</v>
      </c>
      <c r="K123" s="131">
        <v>-3.0</v>
      </c>
      <c r="L123" s="131">
        <v>-4.0</v>
      </c>
      <c r="M123" s="131">
        <v>-5.0</v>
      </c>
      <c r="N123" s="131">
        <v>-6.0</v>
      </c>
      <c r="O123" s="131">
        <v>-7.0</v>
      </c>
      <c r="P123" s="131">
        <v>-8.0</v>
      </c>
      <c r="Q123" s="131">
        <v>-9.0</v>
      </c>
      <c r="R123" s="131">
        <v>-10.0</v>
      </c>
      <c r="S123" s="131">
        <v>-11.0</v>
      </c>
      <c r="T123" s="131">
        <v>-12.0</v>
      </c>
      <c r="U123" s="131">
        <v>-13.0</v>
      </c>
      <c r="V123" s="131">
        <v>-14.0</v>
      </c>
      <c r="W123" s="131">
        <v>-15.0</v>
      </c>
      <c r="X123" s="131">
        <v>-16.0</v>
      </c>
      <c r="Y123" s="131">
        <v>-17.0</v>
      </c>
    </row>
    <row r="124" ht="14.25" customHeight="1">
      <c r="B124" s="35"/>
      <c r="C124" s="35"/>
      <c r="D124" s="35"/>
      <c r="E124" s="35"/>
      <c r="F124" s="35"/>
      <c r="G124" s="35"/>
      <c r="H124" s="35"/>
      <c r="I124" s="35"/>
      <c r="J124" s="35"/>
      <c r="K124" s="35"/>
      <c r="L124" s="35"/>
      <c r="M124" s="35"/>
      <c r="N124" s="35"/>
      <c r="O124" s="35"/>
      <c r="P124" s="35"/>
      <c r="Q124" s="35"/>
      <c r="R124" s="35"/>
      <c r="S124" s="35"/>
      <c r="T124" s="35"/>
      <c r="U124" s="35"/>
      <c r="V124" s="35"/>
      <c r="W124" s="35"/>
      <c r="X124" s="35"/>
      <c r="Y124" s="35"/>
    </row>
    <row r="125" ht="14.25" customHeight="1">
      <c r="B125" s="77" t="s">
        <v>214</v>
      </c>
      <c r="C125" s="77"/>
      <c r="D125" s="77"/>
      <c r="E125" s="77"/>
      <c r="F125" s="77"/>
      <c r="G125" s="77"/>
      <c r="H125" s="77"/>
      <c r="I125" s="132">
        <v>3.0</v>
      </c>
      <c r="J125" s="133" t="s">
        <v>85</v>
      </c>
      <c r="K125" s="135">
        <f t="shared" ref="K125:R125" si="99">SUM(K126:K127)</f>
        <v>1</v>
      </c>
      <c r="L125" s="135">
        <f t="shared" si="99"/>
        <v>1</v>
      </c>
      <c r="M125" s="249">
        <f t="shared" si="99"/>
        <v>2</v>
      </c>
      <c r="N125" s="250">
        <f t="shared" si="99"/>
        <v>3</v>
      </c>
      <c r="O125" s="251">
        <f t="shared" si="99"/>
        <v>1</v>
      </c>
      <c r="P125" s="135">
        <f t="shared" si="99"/>
        <v>1</v>
      </c>
      <c r="Q125" s="135">
        <f t="shared" si="99"/>
        <v>2</v>
      </c>
      <c r="R125" s="135">
        <f t="shared" si="99"/>
        <v>3</v>
      </c>
      <c r="S125" s="46">
        <f t="shared" ref="S125:U125" si="100">IF(K125=0,0,IF((O125/K125*100)&gt;120,120,O125/K125*100))</f>
        <v>100</v>
      </c>
      <c r="T125" s="46">
        <f t="shared" si="100"/>
        <v>100</v>
      </c>
      <c r="U125" s="46">
        <f t="shared" si="100"/>
        <v>100</v>
      </c>
      <c r="V125" s="46">
        <f t="shared" ref="V125:Y125" si="101">IF($N125=0,0,IF((O125/$N125*100)&gt;120,120,O125/$N125*100))</f>
        <v>33.33333333</v>
      </c>
      <c r="W125" s="46">
        <f t="shared" si="101"/>
        <v>33.33333333</v>
      </c>
      <c r="X125" s="46">
        <f t="shared" si="101"/>
        <v>66.66666667</v>
      </c>
      <c r="Y125" s="46">
        <f t="shared" si="101"/>
        <v>100</v>
      </c>
    </row>
    <row r="126" ht="14.25" customHeight="1">
      <c r="B126" s="77"/>
      <c r="C126" s="77" t="s">
        <v>215</v>
      </c>
      <c r="D126" s="77"/>
      <c r="E126" s="77"/>
      <c r="F126" s="77"/>
      <c r="G126" s="77"/>
      <c r="H126" s="77"/>
      <c r="I126" s="132">
        <v>1.0</v>
      </c>
      <c r="J126" s="136" t="s">
        <v>87</v>
      </c>
      <c r="K126" s="42">
        <v>1.0</v>
      </c>
      <c r="L126" s="42">
        <v>1.0</v>
      </c>
      <c r="M126" s="42">
        <v>1.0</v>
      </c>
      <c r="N126" s="42">
        <v>1.0</v>
      </c>
      <c r="O126" s="42">
        <v>1.0</v>
      </c>
      <c r="P126" s="42">
        <v>1.0</v>
      </c>
      <c r="Q126" s="42">
        <v>1.0</v>
      </c>
      <c r="R126" s="42">
        <v>1.0</v>
      </c>
      <c r="S126" s="46">
        <f t="shared" ref="S126:U126" si="102">IF(K126=0,0,IF((O126/K126*100)&gt;120,120,O126/K126*100))</f>
        <v>100</v>
      </c>
      <c r="T126" s="46">
        <f t="shared" si="102"/>
        <v>100</v>
      </c>
      <c r="U126" s="46">
        <f t="shared" si="102"/>
        <v>100</v>
      </c>
      <c r="V126" s="46">
        <f t="shared" ref="V126:Y126" si="103">IF($N126=0,0,IF((O126/$N126*100)&gt;120,120,O126/$N126*100))</f>
        <v>100</v>
      </c>
      <c r="W126" s="46">
        <f t="shared" si="103"/>
        <v>100</v>
      </c>
      <c r="X126" s="46">
        <f t="shared" si="103"/>
        <v>100</v>
      </c>
      <c r="Y126" s="46">
        <f t="shared" si="103"/>
        <v>100</v>
      </c>
    </row>
    <row r="127" ht="14.25" customHeight="1">
      <c r="B127" s="77"/>
      <c r="C127" s="77" t="s">
        <v>216</v>
      </c>
      <c r="D127" s="77"/>
      <c r="E127" s="77"/>
      <c r="F127" s="77"/>
      <c r="G127" s="77"/>
      <c r="H127" s="77"/>
      <c r="I127" s="132">
        <v>2.0</v>
      </c>
      <c r="J127" s="136" t="s">
        <v>66</v>
      </c>
      <c r="K127" s="42">
        <v>0.0</v>
      </c>
      <c r="L127" s="42">
        <v>0.0</v>
      </c>
      <c r="M127" s="42">
        <v>1.0</v>
      </c>
      <c r="N127" s="42">
        <v>2.0</v>
      </c>
      <c r="O127" s="42">
        <v>0.0</v>
      </c>
      <c r="P127" s="42">
        <v>0.0</v>
      </c>
      <c r="Q127" s="266">
        <v>1.0</v>
      </c>
      <c r="R127" s="42">
        <v>2.0</v>
      </c>
      <c r="S127" s="46">
        <f t="shared" ref="S127:U127" si="104">IF(K127=0,0,IF((O127/K127*100)&gt;120,120,O127/K127*100))</f>
        <v>0</v>
      </c>
      <c r="T127" s="46">
        <f t="shared" si="104"/>
        <v>0</v>
      </c>
      <c r="U127" s="46">
        <f t="shared" si="104"/>
        <v>100</v>
      </c>
      <c r="V127" s="46">
        <f t="shared" ref="V127:Y127" si="105">IF($N127=0,0,IF((O127/$N127*100)&gt;120,120,O127/$N127*100))</f>
        <v>0</v>
      </c>
      <c r="W127" s="46">
        <f t="shared" si="105"/>
        <v>0</v>
      </c>
      <c r="X127" s="46">
        <f t="shared" si="105"/>
        <v>50</v>
      </c>
      <c r="Y127" s="46">
        <f t="shared" si="105"/>
        <v>100</v>
      </c>
    </row>
    <row r="128" ht="14.25" customHeight="1">
      <c r="B128" s="77" t="s">
        <v>217</v>
      </c>
      <c r="C128" s="77"/>
      <c r="D128" s="77"/>
      <c r="E128" s="77"/>
      <c r="F128" s="77"/>
      <c r="G128" s="77"/>
      <c r="H128" s="77"/>
      <c r="I128" s="132">
        <v>3.0</v>
      </c>
      <c r="J128" s="133" t="s">
        <v>85</v>
      </c>
      <c r="K128" s="135">
        <f t="shared" ref="K128:R128" si="106">SUM(K129:K130)</f>
        <v>1</v>
      </c>
      <c r="L128" s="135">
        <f t="shared" si="106"/>
        <v>1</v>
      </c>
      <c r="M128" s="135">
        <f t="shared" si="106"/>
        <v>2</v>
      </c>
      <c r="N128" s="250">
        <f t="shared" si="106"/>
        <v>3</v>
      </c>
      <c r="O128" s="135">
        <f t="shared" si="106"/>
        <v>1</v>
      </c>
      <c r="P128" s="135">
        <f t="shared" si="106"/>
        <v>1</v>
      </c>
      <c r="Q128" s="135">
        <f t="shared" si="106"/>
        <v>2</v>
      </c>
      <c r="R128" s="135">
        <f t="shared" si="106"/>
        <v>3</v>
      </c>
      <c r="S128" s="46">
        <f t="shared" ref="S128:U128" si="107">IF(K128=0,0,IF((O128/K128*100)&gt;120,120,O128/K128*100))</f>
        <v>100</v>
      </c>
      <c r="T128" s="46">
        <f t="shared" si="107"/>
        <v>100</v>
      </c>
      <c r="U128" s="46">
        <f t="shared" si="107"/>
        <v>100</v>
      </c>
      <c r="V128" s="46">
        <f t="shared" ref="V128:Y128" si="108">IF($N128=0,0,IF((O128/$N128*100)&gt;120,120,O128/$N128*100))</f>
        <v>33.33333333</v>
      </c>
      <c r="W128" s="46">
        <f t="shared" si="108"/>
        <v>33.33333333</v>
      </c>
      <c r="X128" s="46">
        <f t="shared" si="108"/>
        <v>66.66666667</v>
      </c>
      <c r="Y128" s="46">
        <f t="shared" si="108"/>
        <v>100</v>
      </c>
    </row>
    <row r="129" ht="14.25" customHeight="1">
      <c r="B129" s="77"/>
      <c r="C129" s="77" t="s">
        <v>218</v>
      </c>
      <c r="D129" s="77"/>
      <c r="E129" s="77"/>
      <c r="F129" s="77"/>
      <c r="G129" s="77"/>
      <c r="H129" s="77"/>
      <c r="I129" s="132">
        <v>1.0</v>
      </c>
      <c r="J129" s="136" t="s">
        <v>87</v>
      </c>
      <c r="K129" s="42">
        <v>1.0</v>
      </c>
      <c r="L129" s="42">
        <v>1.0</v>
      </c>
      <c r="M129" s="42">
        <v>1.0</v>
      </c>
      <c r="N129" s="42">
        <v>1.0</v>
      </c>
      <c r="O129" s="42">
        <v>1.0</v>
      </c>
      <c r="P129" s="42">
        <v>1.0</v>
      </c>
      <c r="Q129" s="42">
        <v>1.0</v>
      </c>
      <c r="R129" s="42">
        <v>1.0</v>
      </c>
      <c r="S129" s="46">
        <f t="shared" ref="S129:U129" si="109">IF(K129=0,0,IF((O129/K129*100)&gt;120,120,O129/K129*100))</f>
        <v>100</v>
      </c>
      <c r="T129" s="46">
        <f t="shared" si="109"/>
        <v>100</v>
      </c>
      <c r="U129" s="46">
        <f t="shared" si="109"/>
        <v>100</v>
      </c>
      <c r="V129" s="46">
        <f t="shared" ref="V129:Y129" si="110">IF($N129=0,0,IF((O129/$N129*100)&gt;120,120,O129/$N129*100))</f>
        <v>100</v>
      </c>
      <c r="W129" s="46">
        <f t="shared" si="110"/>
        <v>100</v>
      </c>
      <c r="X129" s="46">
        <f t="shared" si="110"/>
        <v>100</v>
      </c>
      <c r="Y129" s="46">
        <f t="shared" si="110"/>
        <v>100</v>
      </c>
    </row>
    <row r="130" ht="14.25" customHeight="1">
      <c r="B130" s="77"/>
      <c r="C130" s="77" t="s">
        <v>219</v>
      </c>
      <c r="D130" s="77"/>
      <c r="E130" s="77"/>
      <c r="F130" s="77"/>
      <c r="G130" s="77"/>
      <c r="H130" s="77"/>
      <c r="I130" s="132">
        <v>2.0</v>
      </c>
      <c r="J130" s="136" t="s">
        <v>66</v>
      </c>
      <c r="K130" s="42">
        <v>0.0</v>
      </c>
      <c r="L130" s="42">
        <v>0.0</v>
      </c>
      <c r="M130" s="42">
        <v>1.0</v>
      </c>
      <c r="N130" s="42">
        <v>2.0</v>
      </c>
      <c r="O130" s="42">
        <v>0.0</v>
      </c>
      <c r="P130" s="42">
        <v>0.0</v>
      </c>
      <c r="Q130" s="266">
        <v>1.0</v>
      </c>
      <c r="R130" s="42">
        <v>2.0</v>
      </c>
      <c r="S130" s="46">
        <f t="shared" ref="S130:U130" si="111">IF(K130=0,0,IF((O130/K130*100)&gt;120,120,O130/K130*100))</f>
        <v>0</v>
      </c>
      <c r="T130" s="46">
        <f t="shared" si="111"/>
        <v>0</v>
      </c>
      <c r="U130" s="46">
        <f t="shared" si="111"/>
        <v>100</v>
      </c>
      <c r="V130" s="46">
        <f t="shared" ref="V130:Y130" si="112">IF($N130=0,0,IF((O130/$N130*100)&gt;120,120,O130/$N130*100))</f>
        <v>0</v>
      </c>
      <c r="W130" s="46">
        <f t="shared" si="112"/>
        <v>0</v>
      </c>
      <c r="X130" s="46">
        <f t="shared" si="112"/>
        <v>50</v>
      </c>
      <c r="Y130" s="46">
        <f t="shared" si="112"/>
        <v>100</v>
      </c>
    </row>
    <row r="131" ht="14.25" customHeight="1">
      <c r="B131" s="77" t="s">
        <v>220</v>
      </c>
      <c r="C131" s="77"/>
      <c r="D131" s="77"/>
      <c r="E131" s="77"/>
      <c r="F131" s="77"/>
      <c r="G131" s="77"/>
      <c r="H131" s="77"/>
      <c r="I131" s="132">
        <v>1.0</v>
      </c>
      <c r="J131" s="133" t="s">
        <v>87</v>
      </c>
      <c r="K131" s="42">
        <v>1.0</v>
      </c>
      <c r="L131" s="42">
        <v>1.0</v>
      </c>
      <c r="M131" s="42">
        <v>1.0</v>
      </c>
      <c r="N131" s="42">
        <v>1.0</v>
      </c>
      <c r="O131" s="42">
        <v>1.0</v>
      </c>
      <c r="P131" s="42">
        <v>1.0</v>
      </c>
      <c r="Q131" s="42">
        <v>1.0</v>
      </c>
      <c r="R131" s="42">
        <v>1.0</v>
      </c>
      <c r="S131" s="46">
        <f t="shared" ref="S131:U131" si="113">IF(K131=0,0,IF((O131/K131*100)&gt;120,120,O131/K131*100))</f>
        <v>100</v>
      </c>
      <c r="T131" s="46">
        <f t="shared" si="113"/>
        <v>100</v>
      </c>
      <c r="U131" s="46">
        <f t="shared" si="113"/>
        <v>100</v>
      </c>
      <c r="V131" s="46">
        <f t="shared" ref="V131:Y131" si="114">IF($N131=0,0,IF((O131/$N131*100)&gt;120,120,O131/$N131*100))</f>
        <v>100</v>
      </c>
      <c r="W131" s="46">
        <f t="shared" si="114"/>
        <v>100</v>
      </c>
      <c r="X131" s="46">
        <f t="shared" si="114"/>
        <v>100</v>
      </c>
      <c r="Y131" s="46">
        <f t="shared" si="114"/>
        <v>100</v>
      </c>
    </row>
    <row r="132" ht="14.25" customHeight="1">
      <c r="B132" s="77" t="s">
        <v>221</v>
      </c>
      <c r="C132" s="77"/>
      <c r="D132" s="77"/>
      <c r="E132" s="77"/>
      <c r="F132" s="77"/>
      <c r="G132" s="77"/>
      <c r="H132" s="77"/>
      <c r="I132" s="132">
        <v>4.0</v>
      </c>
      <c r="J132" s="133" t="s">
        <v>95</v>
      </c>
      <c r="K132" s="42">
        <v>2.0</v>
      </c>
      <c r="L132" s="42">
        <v>2.0</v>
      </c>
      <c r="M132" s="42">
        <v>4.0</v>
      </c>
      <c r="N132" s="42">
        <v>4.0</v>
      </c>
      <c r="O132" s="42">
        <v>2.0</v>
      </c>
      <c r="P132" s="42">
        <v>2.0</v>
      </c>
      <c r="Q132" s="266">
        <v>4.0</v>
      </c>
      <c r="R132" s="42">
        <v>4.0</v>
      </c>
      <c r="S132" s="46">
        <f t="shared" ref="S132:U132" si="115">IF(K132=0,0,IF((O132/K132*100)&gt;120,120,O132/K132*100))</f>
        <v>100</v>
      </c>
      <c r="T132" s="46">
        <f t="shared" si="115"/>
        <v>100</v>
      </c>
      <c r="U132" s="46">
        <f t="shared" si="115"/>
        <v>100</v>
      </c>
      <c r="V132" s="46">
        <f t="shared" ref="V132:Y132" si="116">IF($N132=0,0,IF((O132/$N132*100)&gt;120,120,O132/$N132*100))</f>
        <v>50</v>
      </c>
      <c r="W132" s="46">
        <f t="shared" si="116"/>
        <v>50</v>
      </c>
      <c r="X132" s="46">
        <f t="shared" si="116"/>
        <v>100</v>
      </c>
      <c r="Y132" s="46">
        <f t="shared" si="116"/>
        <v>100</v>
      </c>
    </row>
    <row r="133" ht="14.25" customHeight="1">
      <c r="B133" s="77" t="s">
        <v>222</v>
      </c>
      <c r="C133" s="77"/>
      <c r="D133" s="77"/>
      <c r="E133" s="77"/>
      <c r="F133" s="77"/>
      <c r="G133" s="77"/>
      <c r="H133" s="77"/>
      <c r="I133" s="132">
        <v>100.0</v>
      </c>
      <c r="J133" s="133" t="s">
        <v>35</v>
      </c>
      <c r="K133" s="254">
        <f t="shared" ref="K133:R133" si="117">IF($I134+$I137=0,0,AVERAGE(IF($I134&gt;0,K134/$I134*100,0),IF($I137&gt;0,K137/$I137*100,0)))</f>
        <v>2.878338279</v>
      </c>
      <c r="L133" s="254">
        <f t="shared" si="117"/>
        <v>52.07568916</v>
      </c>
      <c r="M133" s="254">
        <f t="shared" si="117"/>
        <v>99.85163205</v>
      </c>
      <c r="N133" s="254">
        <f t="shared" si="117"/>
        <v>99.85163205</v>
      </c>
      <c r="O133" s="254">
        <f t="shared" si="117"/>
        <v>2.878338279</v>
      </c>
      <c r="P133" s="254">
        <f t="shared" si="117"/>
        <v>52.07568916</v>
      </c>
      <c r="Q133" s="254">
        <f t="shared" si="117"/>
        <v>99.85163205</v>
      </c>
      <c r="R133" s="254">
        <f t="shared" si="117"/>
        <v>99.85163205</v>
      </c>
      <c r="S133" s="46">
        <f t="shared" ref="S133:U133" si="118">IF(K133=0,0,IF((O133/K133*100)&gt;120,120,O133/K133*100))</f>
        <v>100</v>
      </c>
      <c r="T133" s="46">
        <f t="shared" si="118"/>
        <v>100</v>
      </c>
      <c r="U133" s="46">
        <f t="shared" si="118"/>
        <v>100</v>
      </c>
      <c r="V133" s="46">
        <f t="shared" ref="V133:Y133" si="119">IF($N133=0,0,IF((O133/$N133*100)&gt;120,120,O133/$N133*100))</f>
        <v>2.882615156</v>
      </c>
      <c r="W133" s="46">
        <f t="shared" si="119"/>
        <v>52.1530676</v>
      </c>
      <c r="X133" s="46">
        <f t="shared" si="119"/>
        <v>100</v>
      </c>
      <c r="Y133" s="46">
        <f t="shared" si="119"/>
        <v>100</v>
      </c>
    </row>
    <row r="134" ht="14.25" customHeight="1">
      <c r="B134" s="77"/>
      <c r="C134" s="77" t="s">
        <v>223</v>
      </c>
      <c r="D134" s="77"/>
      <c r="E134" s="77"/>
      <c r="F134" s="77"/>
      <c r="G134" s="77"/>
      <c r="H134" s="77"/>
      <c r="I134" s="141">
        <f>I135+I136</f>
        <v>1685</v>
      </c>
      <c r="J134" s="136" t="s">
        <v>98</v>
      </c>
      <c r="K134" s="42">
        <f t="shared" ref="K134:N134" si="120">K135+K136</f>
        <v>97</v>
      </c>
      <c r="L134" s="42">
        <f t="shared" si="120"/>
        <v>110</v>
      </c>
      <c r="M134" s="42">
        <f t="shared" si="120"/>
        <v>1680</v>
      </c>
      <c r="N134" s="42">
        <f t="shared" si="120"/>
        <v>1680</v>
      </c>
      <c r="O134" s="42">
        <f t="shared" ref="O134:R134" si="121">SUM(O135:O136)</f>
        <v>97</v>
      </c>
      <c r="P134" s="42">
        <f t="shared" si="121"/>
        <v>110</v>
      </c>
      <c r="Q134" s="42">
        <f t="shared" si="121"/>
        <v>1680</v>
      </c>
      <c r="R134" s="42">
        <f t="shared" si="121"/>
        <v>1680</v>
      </c>
      <c r="S134" s="111"/>
      <c r="T134" s="111"/>
      <c r="U134" s="111"/>
      <c r="V134" s="111"/>
      <c r="W134" s="111"/>
      <c r="X134" s="111"/>
      <c r="Y134" s="111"/>
    </row>
    <row r="135" ht="14.25" customHeight="1">
      <c r="B135" s="77"/>
      <c r="C135" s="77"/>
      <c r="D135" s="77" t="s">
        <v>224</v>
      </c>
      <c r="E135" s="77"/>
      <c r="F135" s="77"/>
      <c r="G135" s="77"/>
      <c r="H135" s="77"/>
      <c r="I135" s="141">
        <v>115.0</v>
      </c>
      <c r="J135" s="136" t="s">
        <v>98</v>
      </c>
      <c r="K135" s="42">
        <v>97.0</v>
      </c>
      <c r="L135" s="42">
        <v>110.0</v>
      </c>
      <c r="M135" s="42">
        <v>110.0</v>
      </c>
      <c r="N135" s="42">
        <v>110.0</v>
      </c>
      <c r="O135" s="42">
        <v>97.0</v>
      </c>
      <c r="P135" s="42">
        <v>110.0</v>
      </c>
      <c r="Q135" s="42">
        <v>110.0</v>
      </c>
      <c r="R135" s="42">
        <v>110.0</v>
      </c>
      <c r="S135" s="111"/>
      <c r="T135" s="111"/>
      <c r="U135" s="111"/>
      <c r="V135" s="111"/>
      <c r="W135" s="111"/>
      <c r="X135" s="111"/>
      <c r="Y135" s="111"/>
    </row>
    <row r="136" ht="14.25" customHeight="1">
      <c r="B136" s="77"/>
      <c r="C136" s="77"/>
      <c r="D136" s="77" t="s">
        <v>447</v>
      </c>
      <c r="E136" s="77"/>
      <c r="F136" s="77"/>
      <c r="G136" s="77"/>
      <c r="H136" s="77"/>
      <c r="I136" s="141">
        <v>1570.0</v>
      </c>
      <c r="J136" s="136" t="s">
        <v>98</v>
      </c>
      <c r="K136" s="42">
        <v>0.0</v>
      </c>
      <c r="L136" s="42">
        <v>0.0</v>
      </c>
      <c r="M136" s="42">
        <v>1570.0</v>
      </c>
      <c r="N136" s="42">
        <v>1570.0</v>
      </c>
      <c r="O136" s="42">
        <v>0.0</v>
      </c>
      <c r="P136" s="42">
        <v>0.0</v>
      </c>
      <c r="Q136" s="42">
        <v>1570.0</v>
      </c>
      <c r="R136" s="42">
        <v>1570.0</v>
      </c>
      <c r="S136" s="111"/>
      <c r="T136" s="111"/>
      <c r="U136" s="111"/>
      <c r="V136" s="111"/>
      <c r="W136" s="111"/>
      <c r="X136" s="111"/>
      <c r="Y136" s="111"/>
    </row>
    <row r="137" ht="14.25" customHeight="1">
      <c r="B137" s="77"/>
      <c r="C137" s="77" t="s">
        <v>226</v>
      </c>
      <c r="D137" s="77"/>
      <c r="E137" s="77"/>
      <c r="F137" s="77"/>
      <c r="G137" s="77"/>
      <c r="H137" s="77"/>
      <c r="I137" s="141">
        <v>1725.0</v>
      </c>
      <c r="J137" s="136" t="s">
        <v>98</v>
      </c>
      <c r="K137" s="42">
        <f t="shared" ref="K137:R137" si="122">SUM(K138:K141)</f>
        <v>0</v>
      </c>
      <c r="L137" s="42">
        <f t="shared" si="122"/>
        <v>1684</v>
      </c>
      <c r="M137" s="42">
        <f t="shared" si="122"/>
        <v>1725</v>
      </c>
      <c r="N137" s="42">
        <f t="shared" si="122"/>
        <v>1725</v>
      </c>
      <c r="O137" s="42">
        <f t="shared" si="122"/>
        <v>0</v>
      </c>
      <c r="P137" s="42">
        <f t="shared" si="122"/>
        <v>1684</v>
      </c>
      <c r="Q137" s="42">
        <f t="shared" si="122"/>
        <v>1725</v>
      </c>
      <c r="R137" s="42">
        <f t="shared" si="122"/>
        <v>1725</v>
      </c>
      <c r="S137" s="111"/>
      <c r="T137" s="111"/>
      <c r="U137" s="111"/>
      <c r="V137" s="111"/>
      <c r="W137" s="111"/>
      <c r="X137" s="111"/>
      <c r="Y137" s="111"/>
    </row>
    <row r="138" ht="14.25" customHeight="1">
      <c r="B138" s="77"/>
      <c r="C138" s="77"/>
      <c r="D138" s="77" t="s">
        <v>227</v>
      </c>
      <c r="E138" s="77"/>
      <c r="F138" s="77"/>
      <c r="G138" s="77"/>
      <c r="H138" s="77"/>
      <c r="I138" s="141">
        <v>3.0</v>
      </c>
      <c r="J138" s="136" t="s">
        <v>98</v>
      </c>
      <c r="K138" s="42">
        <v>0.0</v>
      </c>
      <c r="L138" s="42">
        <v>0.0</v>
      </c>
      <c r="M138" s="42">
        <v>3.0</v>
      </c>
      <c r="N138" s="42">
        <v>3.0</v>
      </c>
      <c r="O138" s="42">
        <v>0.0</v>
      </c>
      <c r="P138" s="42">
        <v>0.0</v>
      </c>
      <c r="Q138" s="42">
        <v>3.0</v>
      </c>
      <c r="R138" s="42">
        <v>3.0</v>
      </c>
      <c r="S138" s="111"/>
      <c r="T138" s="111"/>
      <c r="U138" s="111"/>
      <c r="V138" s="111"/>
      <c r="W138" s="111"/>
      <c r="X138" s="111"/>
      <c r="Y138" s="111"/>
    </row>
    <row r="139" ht="14.25" customHeight="1">
      <c r="B139" s="77"/>
      <c r="C139" s="77"/>
      <c r="D139" s="77" t="s">
        <v>228</v>
      </c>
      <c r="E139" s="77"/>
      <c r="F139" s="77"/>
      <c r="G139" s="77"/>
      <c r="H139" s="77"/>
      <c r="I139" s="141">
        <v>3.0</v>
      </c>
      <c r="J139" s="136" t="s">
        <v>98</v>
      </c>
      <c r="K139" s="42">
        <v>0.0</v>
      </c>
      <c r="L139" s="42">
        <v>0.0</v>
      </c>
      <c r="M139" s="42">
        <v>3.0</v>
      </c>
      <c r="N139" s="42">
        <v>3.0</v>
      </c>
      <c r="O139" s="42">
        <v>0.0</v>
      </c>
      <c r="P139" s="42">
        <v>0.0</v>
      </c>
      <c r="Q139" s="42">
        <v>3.0</v>
      </c>
      <c r="R139" s="42">
        <v>3.0</v>
      </c>
      <c r="S139" s="111"/>
      <c r="T139" s="111"/>
      <c r="U139" s="111"/>
      <c r="V139" s="111"/>
      <c r="W139" s="111"/>
      <c r="X139" s="111"/>
      <c r="Y139" s="111"/>
    </row>
    <row r="140" ht="14.25" customHeight="1">
      <c r="B140" s="77"/>
      <c r="C140" s="77"/>
      <c r="D140" s="77" t="s">
        <v>229</v>
      </c>
      <c r="E140" s="77"/>
      <c r="F140" s="77"/>
      <c r="G140" s="77"/>
      <c r="H140" s="77"/>
      <c r="I140" s="141">
        <v>3.0</v>
      </c>
      <c r="J140" s="136" t="s">
        <v>98</v>
      </c>
      <c r="K140" s="42">
        <v>0.0</v>
      </c>
      <c r="L140" s="42">
        <v>3.0</v>
      </c>
      <c r="M140" s="42">
        <v>3.0</v>
      </c>
      <c r="N140" s="42">
        <v>3.0</v>
      </c>
      <c r="O140" s="42">
        <v>0.0</v>
      </c>
      <c r="P140" s="42">
        <v>3.0</v>
      </c>
      <c r="Q140" s="42">
        <v>3.0</v>
      </c>
      <c r="R140" s="42">
        <v>3.0</v>
      </c>
      <c r="S140" s="111"/>
      <c r="T140" s="111"/>
      <c r="U140" s="111"/>
      <c r="V140" s="111"/>
      <c r="W140" s="111"/>
      <c r="X140" s="111"/>
      <c r="Y140" s="111"/>
    </row>
    <row r="141" ht="14.25" customHeight="1">
      <c r="B141" s="77"/>
      <c r="C141" s="77"/>
      <c r="D141" s="77" t="s">
        <v>448</v>
      </c>
      <c r="E141" s="77"/>
      <c r="F141" s="77"/>
      <c r="G141" s="77"/>
      <c r="H141" s="77"/>
      <c r="I141" s="141">
        <f>1562+143+11</f>
        <v>1716</v>
      </c>
      <c r="J141" s="136" t="s">
        <v>98</v>
      </c>
      <c r="K141" s="42">
        <v>0.0</v>
      </c>
      <c r="L141" s="42">
        <v>1681.0</v>
      </c>
      <c r="M141" s="42">
        <v>1716.0</v>
      </c>
      <c r="N141" s="42">
        <v>1716.0</v>
      </c>
      <c r="O141" s="42">
        <v>0.0</v>
      </c>
      <c r="P141" s="42">
        <v>1681.0</v>
      </c>
      <c r="Q141" s="42">
        <f>11+143+1562</f>
        <v>1716</v>
      </c>
      <c r="R141" s="42">
        <v>1716.0</v>
      </c>
      <c r="S141" s="111"/>
      <c r="T141" s="111"/>
      <c r="U141" s="111"/>
      <c r="V141" s="111"/>
      <c r="W141" s="111"/>
      <c r="X141" s="111"/>
      <c r="Y141" s="111"/>
    </row>
    <row r="142" ht="14.25" customHeight="1">
      <c r="B142" s="77" t="s">
        <v>231</v>
      </c>
      <c r="C142" s="77"/>
      <c r="D142" s="77"/>
      <c r="E142" s="77"/>
      <c r="F142" s="77"/>
      <c r="G142" s="77"/>
      <c r="H142" s="77"/>
      <c r="I142" s="132">
        <v>100.0</v>
      </c>
      <c r="J142" s="133" t="s">
        <v>35</v>
      </c>
      <c r="K142" s="349">
        <f>I135/(I134+I137)*100</f>
        <v>3.372434018</v>
      </c>
      <c r="L142" s="143">
        <f>(I140+I141)/(I134+I137)*100</f>
        <v>50.41055718</v>
      </c>
      <c r="M142" s="143">
        <f>(I134+I137)/(I134+I137)*100</f>
        <v>100</v>
      </c>
      <c r="N142" s="143">
        <f>M142</f>
        <v>100</v>
      </c>
      <c r="O142" s="143">
        <f t="shared" ref="O142:Q142" si="123">K142</f>
        <v>3.372434018</v>
      </c>
      <c r="P142" s="143">
        <f t="shared" si="123"/>
        <v>50.41055718</v>
      </c>
      <c r="Q142" s="143">
        <f t="shared" si="123"/>
        <v>100</v>
      </c>
      <c r="R142" s="42">
        <v>100.0</v>
      </c>
      <c r="S142" s="46">
        <f t="shared" ref="S142:U142" si="124">IF(K142=0,0,IF((O142/K142*100)&gt;120,120,O142/K142*100))</f>
        <v>100</v>
      </c>
      <c r="T142" s="46">
        <f t="shared" si="124"/>
        <v>100</v>
      </c>
      <c r="U142" s="46">
        <f t="shared" si="124"/>
        <v>100</v>
      </c>
      <c r="V142" s="46">
        <f t="shared" ref="V142:Y142" si="125">IF($N142=0,0,IF((O142/$N142*100)&gt;120,120,O142/$N142*100))</f>
        <v>3.372434018</v>
      </c>
      <c r="W142" s="46">
        <f t="shared" si="125"/>
        <v>50.41055718</v>
      </c>
      <c r="X142" s="46">
        <f t="shared" si="125"/>
        <v>100</v>
      </c>
      <c r="Y142" s="46">
        <f t="shared" si="125"/>
        <v>100</v>
      </c>
    </row>
    <row r="143" ht="14.25" customHeight="1">
      <c r="B143" s="39"/>
      <c r="C143" s="39"/>
      <c r="D143" s="77"/>
      <c r="E143" s="77"/>
      <c r="F143" s="77"/>
      <c r="G143" s="77"/>
      <c r="H143" s="77"/>
      <c r="I143" s="77"/>
      <c r="J143" s="77"/>
      <c r="K143" s="77"/>
      <c r="L143" s="77"/>
      <c r="M143" s="77"/>
      <c r="N143" s="77"/>
      <c r="O143" s="77"/>
      <c r="P143" s="77"/>
      <c r="Q143" s="77"/>
      <c r="R143" s="77"/>
      <c r="S143" s="77"/>
      <c r="T143" s="77"/>
      <c r="U143" s="77"/>
      <c r="V143" s="77"/>
      <c r="W143" s="77"/>
      <c r="X143" s="77"/>
      <c r="Y143" s="77"/>
    </row>
    <row r="144" ht="14.25" customHeight="1">
      <c r="B144" s="260"/>
      <c r="C144" s="261"/>
      <c r="D144" s="262"/>
      <c r="E144" s="262"/>
      <c r="F144" s="262"/>
      <c r="G144" s="263" t="s">
        <v>449</v>
      </c>
      <c r="H144" s="262"/>
      <c r="I144" s="262"/>
      <c r="J144" s="262"/>
      <c r="K144" s="264"/>
      <c r="L144" s="264"/>
      <c r="M144" s="264"/>
      <c r="N144" s="264"/>
      <c r="O144" s="264"/>
      <c r="P144" s="264"/>
      <c r="Q144" s="264"/>
      <c r="R144" s="264"/>
      <c r="S144" s="265">
        <f t="shared" ref="S144:U144" si="126">IF(SUM(K124:K133,K142)&gt;0,SUM(S124:S133,S142)/SUM(COUNTIF(K124:K133,"&gt;0"),COUNTIF(K142,"&gt;0")),0)</f>
        <v>100</v>
      </c>
      <c r="T144" s="265">
        <f t="shared" si="126"/>
        <v>100</v>
      </c>
      <c r="U144" s="265">
        <f t="shared" si="126"/>
        <v>100</v>
      </c>
      <c r="V144" s="265">
        <f t="shared" ref="V144:Y144" si="127">IF(SUM($N124:$N143)&gt;0,SUM(V124:V143)/COUNTIF($N124:$N143,"&gt;0"),0)</f>
        <v>23.49565088</v>
      </c>
      <c r="W144" s="265">
        <f t="shared" si="127"/>
        <v>28.8461273</v>
      </c>
      <c r="X144" s="265">
        <f t="shared" si="127"/>
        <v>46.2962963</v>
      </c>
      <c r="Y144" s="265">
        <f t="shared" si="127"/>
        <v>55.55555556</v>
      </c>
    </row>
    <row r="145" ht="14.25" customHeight="1">
      <c r="V145" s="244">
        <f>SUM(V125:V142)/10</f>
        <v>42.29217158</v>
      </c>
      <c r="W145" s="244">
        <f>SUM(W125:W142)/8</f>
        <v>64.90378643</v>
      </c>
      <c r="X145" s="244">
        <f t="shared" ref="X145:Y145" si="128">SUM(X125:X142)/10</f>
        <v>83.33333333</v>
      </c>
      <c r="Y145" s="244">
        <f t="shared" si="128"/>
        <v>100</v>
      </c>
    </row>
    <row r="146" ht="14.25" customHeight="1"/>
    <row r="147" ht="14.25" customHeight="1">
      <c r="B147" s="4" t="s">
        <v>233</v>
      </c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6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</row>
    <row r="148" ht="15.75" customHeight="1">
      <c r="B148" s="150" t="s">
        <v>2</v>
      </c>
      <c r="C148" s="8"/>
      <c r="D148" s="8"/>
      <c r="E148" s="8"/>
      <c r="F148" s="8"/>
      <c r="G148" s="8"/>
      <c r="H148" s="8"/>
      <c r="I148" s="273"/>
      <c r="J148" s="152" t="s">
        <v>3</v>
      </c>
      <c r="K148" s="11"/>
      <c r="L148" s="11"/>
      <c r="M148" s="11"/>
      <c r="N148" s="11"/>
      <c r="O148" s="11"/>
      <c r="P148" s="11"/>
      <c r="Q148" s="11"/>
      <c r="R148" s="12"/>
      <c r="S148" s="152" t="s">
        <v>4</v>
      </c>
      <c r="T148" s="11"/>
      <c r="U148" s="11"/>
      <c r="V148" s="11"/>
      <c r="W148" s="11"/>
      <c r="X148" s="11"/>
      <c r="Y148" s="12"/>
    </row>
    <row r="149" ht="14.25" customHeight="1">
      <c r="B149" s="13"/>
      <c r="I149" s="92"/>
      <c r="J149" s="153" t="s">
        <v>5</v>
      </c>
      <c r="K149" s="154" t="s">
        <v>62</v>
      </c>
      <c r="L149" s="17"/>
      <c r="M149" s="17"/>
      <c r="N149" s="18"/>
      <c r="O149" s="154" t="s">
        <v>63</v>
      </c>
      <c r="P149" s="17"/>
      <c r="Q149" s="17"/>
      <c r="R149" s="18"/>
      <c r="S149" s="154" t="s">
        <v>64</v>
      </c>
      <c r="T149" s="17"/>
      <c r="U149" s="18"/>
      <c r="V149" s="154" t="s">
        <v>9</v>
      </c>
      <c r="W149" s="17"/>
      <c r="X149" s="17"/>
      <c r="Y149" s="18"/>
    </row>
    <row r="150" ht="14.25" customHeight="1">
      <c r="B150" s="19"/>
      <c r="C150" s="20"/>
      <c r="D150" s="20"/>
      <c r="E150" s="20"/>
      <c r="F150" s="20"/>
      <c r="G150" s="20"/>
      <c r="H150" s="20"/>
      <c r="I150" s="21"/>
      <c r="J150" s="22"/>
      <c r="K150" s="155" t="s">
        <v>10</v>
      </c>
      <c r="L150" s="155" t="s">
        <v>11</v>
      </c>
      <c r="M150" s="155" t="s">
        <v>12</v>
      </c>
      <c r="N150" s="155" t="s">
        <v>13</v>
      </c>
      <c r="O150" s="155" t="s">
        <v>10</v>
      </c>
      <c r="P150" s="155" t="s">
        <v>11</v>
      </c>
      <c r="Q150" s="155" t="s">
        <v>12</v>
      </c>
      <c r="R150" s="155" t="s">
        <v>13</v>
      </c>
      <c r="S150" s="155" t="s">
        <v>10</v>
      </c>
      <c r="T150" s="155" t="s">
        <v>11</v>
      </c>
      <c r="U150" s="155" t="s">
        <v>12</v>
      </c>
      <c r="V150" s="155" t="s">
        <v>10</v>
      </c>
      <c r="W150" s="155" t="s">
        <v>11</v>
      </c>
      <c r="X150" s="155" t="s">
        <v>12</v>
      </c>
      <c r="Y150" s="155" t="s">
        <v>13</v>
      </c>
    </row>
    <row r="151" ht="14.25" customHeight="1">
      <c r="B151" s="157">
        <v>-1.0</v>
      </c>
      <c r="C151" s="27"/>
      <c r="D151" s="27"/>
      <c r="E151" s="27"/>
      <c r="F151" s="27"/>
      <c r="G151" s="27"/>
      <c r="H151" s="27"/>
      <c r="I151" s="274"/>
      <c r="J151" s="158">
        <v>-2.0</v>
      </c>
      <c r="K151" s="158">
        <v>-3.0</v>
      </c>
      <c r="L151" s="158">
        <v>-4.0</v>
      </c>
      <c r="M151" s="158">
        <v>-5.0</v>
      </c>
      <c r="N151" s="158">
        <v>-6.0</v>
      </c>
      <c r="O151" s="158">
        <v>-7.0</v>
      </c>
      <c r="P151" s="158">
        <v>-8.0</v>
      </c>
      <c r="Q151" s="158">
        <v>-9.0</v>
      </c>
      <c r="R151" s="158">
        <v>-10.0</v>
      </c>
      <c r="S151" s="158">
        <v>-11.0</v>
      </c>
      <c r="T151" s="158">
        <v>-12.0</v>
      </c>
      <c r="U151" s="158">
        <v>-13.0</v>
      </c>
      <c r="V151" s="158">
        <v>-14.0</v>
      </c>
      <c r="W151" s="158">
        <v>-15.0</v>
      </c>
      <c r="X151" s="158">
        <v>-16.0</v>
      </c>
      <c r="Y151" s="158">
        <v>-17.0</v>
      </c>
    </row>
    <row r="152" ht="14.25" customHeight="1">
      <c r="B152" s="35"/>
      <c r="C152" s="35"/>
      <c r="D152" s="35"/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  <c r="S152" s="35"/>
      <c r="T152" s="35"/>
      <c r="U152" s="35"/>
      <c r="V152" s="35"/>
      <c r="W152" s="35"/>
      <c r="X152" s="35"/>
      <c r="Y152" s="35"/>
    </row>
    <row r="153" ht="14.25" customHeight="1">
      <c r="B153" s="39" t="s">
        <v>234</v>
      </c>
      <c r="C153" s="39"/>
      <c r="D153" s="77"/>
      <c r="E153" s="77"/>
      <c r="F153" s="77"/>
      <c r="G153" s="77"/>
      <c r="H153" s="77"/>
      <c r="I153" s="159">
        <f t="shared" ref="I153:I154" si="132">N153</f>
        <v>7</v>
      </c>
      <c r="J153" s="103" t="s">
        <v>85</v>
      </c>
      <c r="K153" s="39">
        <f t="shared" ref="K153:R153" si="129">SUM(K154:K155)</f>
        <v>0</v>
      </c>
      <c r="L153" s="39">
        <f t="shared" si="129"/>
        <v>0</v>
      </c>
      <c r="M153" s="60">
        <f t="shared" si="129"/>
        <v>0</v>
      </c>
      <c r="N153" s="160">
        <f t="shared" si="129"/>
        <v>7</v>
      </c>
      <c r="O153" s="62">
        <f t="shared" si="129"/>
        <v>0</v>
      </c>
      <c r="P153" s="39">
        <f t="shared" si="129"/>
        <v>0</v>
      </c>
      <c r="Q153" s="39">
        <f t="shared" si="129"/>
        <v>0</v>
      </c>
      <c r="R153" s="39">
        <f t="shared" si="129"/>
        <v>7</v>
      </c>
      <c r="S153" s="46">
        <f t="shared" ref="S153:U153" si="130">IF(K153=0,0,IF((O153/K153*100)&gt;120,120,O153/K153*100))</f>
        <v>0</v>
      </c>
      <c r="T153" s="46">
        <f t="shared" si="130"/>
        <v>0</v>
      </c>
      <c r="U153" s="46">
        <f t="shared" si="130"/>
        <v>0</v>
      </c>
      <c r="V153" s="46">
        <f t="shared" ref="V153:Y153" si="131">IF($N153=0,0,IF((O153/$N153*100)&gt;120,120,O153/$N153*100))</f>
        <v>0</v>
      </c>
      <c r="W153" s="46">
        <f t="shared" si="131"/>
        <v>0</v>
      </c>
      <c r="X153" s="46">
        <f t="shared" si="131"/>
        <v>0</v>
      </c>
      <c r="Y153" s="46">
        <f t="shared" si="131"/>
        <v>100</v>
      </c>
    </row>
    <row r="154" ht="14.25" customHeight="1">
      <c r="B154" s="39"/>
      <c r="C154" s="109" t="s">
        <v>235</v>
      </c>
      <c r="D154" s="77"/>
      <c r="E154" s="77"/>
      <c r="F154" s="77"/>
      <c r="G154" s="77"/>
      <c r="H154" s="77"/>
      <c r="I154" s="159">
        <f t="shared" si="132"/>
        <v>1</v>
      </c>
      <c r="J154" s="110" t="s">
        <v>87</v>
      </c>
      <c r="K154" s="42">
        <v>0.0</v>
      </c>
      <c r="L154" s="42">
        <v>0.0</v>
      </c>
      <c r="M154" s="42">
        <v>0.0</v>
      </c>
      <c r="N154" s="42">
        <v>1.0</v>
      </c>
      <c r="O154" s="42">
        <v>0.0</v>
      </c>
      <c r="P154" s="42">
        <v>0.0</v>
      </c>
      <c r="Q154" s="42">
        <v>0.0</v>
      </c>
      <c r="R154" s="42">
        <v>1.0</v>
      </c>
      <c r="S154" s="46">
        <f t="shared" ref="S154:U154" si="133">IF(K154=0,0,IF((O154/K154*100)&gt;120,120,O154/K154*100))</f>
        <v>0</v>
      </c>
      <c r="T154" s="46">
        <f t="shared" si="133"/>
        <v>0</v>
      </c>
      <c r="U154" s="46">
        <f t="shared" si="133"/>
        <v>0</v>
      </c>
      <c r="V154" s="46">
        <f t="shared" ref="V154:Y154" si="134">IF($N154=0,0,IF((O154/$N154*100)&gt;120,120,O154/$N154*100))</f>
        <v>0</v>
      </c>
      <c r="W154" s="46">
        <f t="shared" si="134"/>
        <v>0</v>
      </c>
      <c r="X154" s="46">
        <f t="shared" si="134"/>
        <v>0</v>
      </c>
      <c r="Y154" s="46">
        <f t="shared" si="134"/>
        <v>100</v>
      </c>
    </row>
    <row r="155" ht="14.25" customHeight="1">
      <c r="B155" s="39"/>
      <c r="C155" s="109" t="s">
        <v>236</v>
      </c>
      <c r="D155" s="77"/>
      <c r="E155" s="77"/>
      <c r="F155" s="77"/>
      <c r="G155" s="77"/>
      <c r="H155" s="77"/>
      <c r="I155" s="159">
        <v>6.0</v>
      </c>
      <c r="J155" s="110" t="s">
        <v>66</v>
      </c>
      <c r="K155" s="42">
        <v>0.0</v>
      </c>
      <c r="L155" s="42">
        <v>0.0</v>
      </c>
      <c r="M155" s="42">
        <v>0.0</v>
      </c>
      <c r="N155" s="42">
        <v>6.0</v>
      </c>
      <c r="O155" s="42">
        <v>0.0</v>
      </c>
      <c r="P155" s="42">
        <v>0.0</v>
      </c>
      <c r="Q155" s="42">
        <v>0.0</v>
      </c>
      <c r="R155" s="42">
        <v>6.0</v>
      </c>
      <c r="S155" s="46">
        <f t="shared" ref="S155:U155" si="135">IF(K155=0,0,IF((O155/K155*100)&gt;120,120,O155/K155*100))</f>
        <v>0</v>
      </c>
      <c r="T155" s="46">
        <f t="shared" si="135"/>
        <v>0</v>
      </c>
      <c r="U155" s="46">
        <f t="shared" si="135"/>
        <v>0</v>
      </c>
      <c r="V155" s="46">
        <f t="shared" ref="V155:Y155" si="136">IF($N155=0,0,IF((O155/$N155*100)&gt;120,120,O155/$N155*100))</f>
        <v>0</v>
      </c>
      <c r="W155" s="46">
        <f t="shared" si="136"/>
        <v>0</v>
      </c>
      <c r="X155" s="46">
        <f t="shared" si="136"/>
        <v>0</v>
      </c>
      <c r="Y155" s="46">
        <f t="shared" si="136"/>
        <v>100</v>
      </c>
    </row>
    <row r="156" ht="14.25" customHeight="1">
      <c r="B156" s="39" t="s">
        <v>237</v>
      </c>
      <c r="C156" s="39"/>
      <c r="D156" s="77"/>
      <c r="E156" s="77"/>
      <c r="F156" s="77"/>
      <c r="G156" s="77"/>
      <c r="H156" s="77"/>
      <c r="I156" s="159">
        <f t="shared" ref="I156:I160" si="140">N156</f>
        <v>7</v>
      </c>
      <c r="J156" s="103" t="s">
        <v>85</v>
      </c>
      <c r="K156" s="39">
        <f t="shared" ref="K156:R156" si="137">SUM(K157:K158)</f>
        <v>0</v>
      </c>
      <c r="L156" s="39">
        <f t="shared" si="137"/>
        <v>0</v>
      </c>
      <c r="M156" s="60">
        <f t="shared" si="137"/>
        <v>0</v>
      </c>
      <c r="N156" s="160">
        <f t="shared" si="137"/>
        <v>7</v>
      </c>
      <c r="O156" s="62">
        <f t="shared" si="137"/>
        <v>0</v>
      </c>
      <c r="P156" s="39">
        <f t="shared" si="137"/>
        <v>0</v>
      </c>
      <c r="Q156" s="39">
        <f t="shared" si="137"/>
        <v>0</v>
      </c>
      <c r="R156" s="39">
        <f t="shared" si="137"/>
        <v>7</v>
      </c>
      <c r="S156" s="46">
        <f t="shared" ref="S156:U156" si="138">IF(K156=0,0,IF((O156/K156*100)&gt;120,120,O156/K156*100))</f>
        <v>0</v>
      </c>
      <c r="T156" s="46">
        <f t="shared" si="138"/>
        <v>0</v>
      </c>
      <c r="U156" s="46">
        <f t="shared" si="138"/>
        <v>0</v>
      </c>
      <c r="V156" s="46">
        <f t="shared" ref="V156:Y156" si="139">IF($N156=0,0,IF((O156/$N156*100)&gt;120,120,O156/$N156*100))</f>
        <v>0</v>
      </c>
      <c r="W156" s="46">
        <f t="shared" si="139"/>
        <v>0</v>
      </c>
      <c r="X156" s="46">
        <f t="shared" si="139"/>
        <v>0</v>
      </c>
      <c r="Y156" s="46">
        <f t="shared" si="139"/>
        <v>100</v>
      </c>
    </row>
    <row r="157" ht="14.25" customHeight="1">
      <c r="B157" s="39"/>
      <c r="C157" s="109" t="s">
        <v>238</v>
      </c>
      <c r="D157" s="77"/>
      <c r="E157" s="77"/>
      <c r="F157" s="77"/>
      <c r="G157" s="77"/>
      <c r="H157" s="77"/>
      <c r="I157" s="159">
        <f t="shared" si="140"/>
        <v>1</v>
      </c>
      <c r="J157" s="110" t="s">
        <v>87</v>
      </c>
      <c r="K157" s="42">
        <v>0.0</v>
      </c>
      <c r="L157" s="42">
        <v>0.0</v>
      </c>
      <c r="M157" s="42">
        <v>0.0</v>
      </c>
      <c r="N157" s="42">
        <v>1.0</v>
      </c>
      <c r="O157" s="42">
        <v>0.0</v>
      </c>
      <c r="P157" s="42">
        <v>0.0</v>
      </c>
      <c r="Q157" s="42">
        <v>0.0</v>
      </c>
      <c r="R157" s="42">
        <v>1.0</v>
      </c>
      <c r="S157" s="46">
        <f t="shared" ref="S157:U157" si="141">IF(K157=0,0,IF((O157/K157*100)&gt;120,120,O157/K157*100))</f>
        <v>0</v>
      </c>
      <c r="T157" s="46">
        <f t="shared" si="141"/>
        <v>0</v>
      </c>
      <c r="U157" s="46">
        <f t="shared" si="141"/>
        <v>0</v>
      </c>
      <c r="V157" s="46">
        <f t="shared" ref="V157:Y157" si="142">IF($N157=0,0,IF((O157/$N157*100)&gt;120,120,O157/$N157*100))</f>
        <v>0</v>
      </c>
      <c r="W157" s="46">
        <f t="shared" si="142"/>
        <v>0</v>
      </c>
      <c r="X157" s="46">
        <f t="shared" si="142"/>
        <v>0</v>
      </c>
      <c r="Y157" s="46">
        <f t="shared" si="142"/>
        <v>100</v>
      </c>
    </row>
    <row r="158" ht="14.25" customHeight="1">
      <c r="B158" s="39"/>
      <c r="C158" s="109" t="s">
        <v>239</v>
      </c>
      <c r="D158" s="77"/>
      <c r="E158" s="77"/>
      <c r="F158" s="77"/>
      <c r="G158" s="77"/>
      <c r="H158" s="77"/>
      <c r="I158" s="159">
        <f t="shared" si="140"/>
        <v>6</v>
      </c>
      <c r="J158" s="110" t="s">
        <v>66</v>
      </c>
      <c r="K158" s="42">
        <v>0.0</v>
      </c>
      <c r="L158" s="42">
        <v>0.0</v>
      </c>
      <c r="M158" s="42">
        <v>0.0</v>
      </c>
      <c r="N158" s="42">
        <v>6.0</v>
      </c>
      <c r="O158" s="42">
        <v>0.0</v>
      </c>
      <c r="P158" s="42">
        <v>0.0</v>
      </c>
      <c r="Q158" s="42">
        <v>0.0</v>
      </c>
      <c r="R158" s="42">
        <v>6.0</v>
      </c>
      <c r="S158" s="46">
        <f t="shared" ref="S158:U158" si="143">IF(K158=0,0,IF((O158/K158*100)&gt;120,120,O158/K158*100))</f>
        <v>0</v>
      </c>
      <c r="T158" s="46">
        <f t="shared" si="143"/>
        <v>0</v>
      </c>
      <c r="U158" s="46">
        <f t="shared" si="143"/>
        <v>0</v>
      </c>
      <c r="V158" s="46">
        <f t="shared" ref="V158:Y158" si="144">IF($N158=0,0,IF((O158/$N158*100)&gt;120,120,O158/$N158*100))</f>
        <v>0</v>
      </c>
      <c r="W158" s="46">
        <f t="shared" si="144"/>
        <v>0</v>
      </c>
      <c r="X158" s="46">
        <f t="shared" si="144"/>
        <v>0</v>
      </c>
      <c r="Y158" s="46">
        <f t="shared" si="144"/>
        <v>100</v>
      </c>
    </row>
    <row r="159" ht="14.25" customHeight="1">
      <c r="B159" s="39" t="s">
        <v>240</v>
      </c>
      <c r="C159" s="39"/>
      <c r="D159" s="77"/>
      <c r="E159" s="77"/>
      <c r="F159" s="77"/>
      <c r="G159" s="77"/>
      <c r="H159" s="77"/>
      <c r="I159" s="159">
        <f t="shared" si="140"/>
        <v>0</v>
      </c>
      <c r="J159" s="103" t="s">
        <v>87</v>
      </c>
      <c r="K159" s="42">
        <v>0.0</v>
      </c>
      <c r="L159" s="42">
        <v>0.0</v>
      </c>
      <c r="M159" s="42">
        <v>0.0</v>
      </c>
      <c r="N159" s="42">
        <v>0.0</v>
      </c>
      <c r="O159" s="42">
        <v>0.0</v>
      </c>
      <c r="P159" s="42">
        <v>0.0</v>
      </c>
      <c r="Q159" s="42">
        <v>0.0</v>
      </c>
      <c r="R159" s="42">
        <v>0.0</v>
      </c>
      <c r="S159" s="46">
        <f t="shared" ref="S159:U159" si="145">IF(K159=0,0,IF((O159/K159*100)&gt;120,120,O159/K159*100))</f>
        <v>0</v>
      </c>
      <c r="T159" s="46">
        <f t="shared" si="145"/>
        <v>0</v>
      </c>
      <c r="U159" s="46">
        <f t="shared" si="145"/>
        <v>0</v>
      </c>
      <c r="V159" s="46">
        <f t="shared" ref="V159:Y159" si="146">IF($N159=0,0,IF((O159/$N159*100)&gt;120,120,O159/$N159*100))</f>
        <v>0</v>
      </c>
      <c r="W159" s="46">
        <f t="shared" si="146"/>
        <v>0</v>
      </c>
      <c r="X159" s="46">
        <f t="shared" si="146"/>
        <v>0</v>
      </c>
      <c r="Y159" s="46">
        <f t="shared" si="146"/>
        <v>0</v>
      </c>
    </row>
    <row r="160" ht="14.25" customHeight="1">
      <c r="B160" s="39" t="s">
        <v>241</v>
      </c>
      <c r="C160" s="39"/>
      <c r="D160" s="77"/>
      <c r="E160" s="77"/>
      <c r="F160" s="77"/>
      <c r="G160" s="77"/>
      <c r="H160" s="77"/>
      <c r="I160" s="159">
        <f t="shared" si="140"/>
        <v>2</v>
      </c>
      <c r="J160" s="103" t="s">
        <v>95</v>
      </c>
      <c r="K160" s="42">
        <v>1.0</v>
      </c>
      <c r="L160" s="42">
        <v>1.0</v>
      </c>
      <c r="M160" s="42">
        <v>1.0</v>
      </c>
      <c r="N160" s="42">
        <v>2.0</v>
      </c>
      <c r="O160" s="42">
        <v>1.0</v>
      </c>
      <c r="P160" s="42">
        <v>1.0</v>
      </c>
      <c r="Q160" s="42">
        <v>1.0</v>
      </c>
      <c r="R160" s="42">
        <v>2.0</v>
      </c>
      <c r="S160" s="46">
        <f t="shared" ref="S160:U160" si="147">IF(K160=0,0,IF((O160/K160*100)&gt;120,120,O160/K160*100))</f>
        <v>100</v>
      </c>
      <c r="T160" s="46">
        <f t="shared" si="147"/>
        <v>100</v>
      </c>
      <c r="U160" s="46">
        <f t="shared" si="147"/>
        <v>100</v>
      </c>
      <c r="V160" s="46">
        <f t="shared" ref="V160:Y160" si="148">IF($N160=0,0,IF((O160/$N160*100)&gt;120,120,O160/$N160*100))</f>
        <v>50</v>
      </c>
      <c r="W160" s="46">
        <f t="shared" si="148"/>
        <v>50</v>
      </c>
      <c r="X160" s="46">
        <f t="shared" si="148"/>
        <v>50</v>
      </c>
      <c r="Y160" s="46">
        <f t="shared" si="148"/>
        <v>100</v>
      </c>
    </row>
    <row r="161" ht="14.25" customHeight="1">
      <c r="B161" s="39" t="s">
        <v>242</v>
      </c>
      <c r="C161" s="39"/>
      <c r="D161" s="77"/>
      <c r="E161" s="77"/>
      <c r="F161" s="77"/>
      <c r="G161" s="77"/>
      <c r="H161" s="77"/>
      <c r="I161" s="159"/>
      <c r="J161" s="103" t="s">
        <v>35</v>
      </c>
      <c r="K161" s="254">
        <f t="shared" ref="K161:R161" si="149">IF($I162+$I167+$I173=0,0,AVERAGE(IF($I162&gt;0,K162/$I162*100,0),IF($I167&gt;0,K167/$I167*100,0),IF($I173&gt;0,K173/$I173*100,0)))</f>
        <v>21.37126789</v>
      </c>
      <c r="L161" s="254">
        <f t="shared" si="149"/>
        <v>41.04290407</v>
      </c>
      <c r="M161" s="254">
        <f t="shared" si="149"/>
        <v>62.26064343</v>
      </c>
      <c r="N161" s="254">
        <f t="shared" si="149"/>
        <v>91.58883744</v>
      </c>
      <c r="O161" s="254">
        <f t="shared" si="149"/>
        <v>19.59874292</v>
      </c>
      <c r="P161" s="254">
        <f t="shared" si="149"/>
        <v>34.60384018</v>
      </c>
      <c r="Q161" s="254">
        <f t="shared" si="149"/>
        <v>53.01891714</v>
      </c>
      <c r="R161" s="254">
        <f t="shared" si="149"/>
        <v>38.91537125</v>
      </c>
      <c r="S161" s="46">
        <f t="shared" ref="S161:U161" si="150">IF(K161=0,0,IF((O161/K161*100)&gt;120,120,O161/K161*100))</f>
        <v>91.70603736</v>
      </c>
      <c r="T161" s="46">
        <f t="shared" si="150"/>
        <v>84.31138333</v>
      </c>
      <c r="U161" s="46">
        <f t="shared" si="150"/>
        <v>85.15639129</v>
      </c>
      <c r="V161" s="46">
        <f t="shared" ref="V161:Y161" si="151">IF($N161=0,0,IF((O161/$N161*100)&gt;120,120,O161/$N161*100))</f>
        <v>21.39861523</v>
      </c>
      <c r="W161" s="46">
        <f t="shared" si="151"/>
        <v>37.78172225</v>
      </c>
      <c r="X161" s="46">
        <f t="shared" si="151"/>
        <v>57.88796825</v>
      </c>
      <c r="Y161" s="46">
        <f t="shared" si="151"/>
        <v>42.48920757</v>
      </c>
    </row>
    <row r="162" ht="14.25" customHeight="1">
      <c r="B162" s="39"/>
      <c r="C162" s="109" t="s">
        <v>243</v>
      </c>
      <c r="D162" s="77"/>
      <c r="E162" s="77"/>
      <c r="F162" s="77"/>
      <c r="G162" s="77"/>
      <c r="H162" s="77"/>
      <c r="I162" s="42">
        <f>SUM(I163:I166)</f>
        <v>2281</v>
      </c>
      <c r="J162" s="110" t="s">
        <v>98</v>
      </c>
      <c r="K162" s="276">
        <f>SUM(K163:K166)</f>
        <v>432</v>
      </c>
      <c r="L162" s="276">
        <v>764.0</v>
      </c>
      <c r="M162" s="276">
        <v>1171.0</v>
      </c>
      <c r="N162" s="276">
        <v>1825.0</v>
      </c>
      <c r="O162" s="42">
        <f t="shared" ref="O162:R162" si="152">SUM(O163:O166)</f>
        <v>356</v>
      </c>
      <c r="P162" s="42">
        <f t="shared" si="152"/>
        <v>682</v>
      </c>
      <c r="Q162" s="42">
        <f t="shared" si="152"/>
        <v>1039</v>
      </c>
      <c r="R162" s="42">
        <f t="shared" si="152"/>
        <v>0</v>
      </c>
      <c r="S162" s="111"/>
      <c r="T162" s="111"/>
      <c r="U162" s="111"/>
      <c r="V162" s="111"/>
      <c r="W162" s="111"/>
      <c r="X162" s="111"/>
      <c r="Y162" s="111"/>
    </row>
    <row r="163" ht="14.25" customHeight="1">
      <c r="B163" s="39"/>
      <c r="C163" s="109"/>
      <c r="D163" s="77" t="s">
        <v>450</v>
      </c>
      <c r="E163" s="77"/>
      <c r="F163" s="77"/>
      <c r="G163" s="77"/>
      <c r="H163" s="77">
        <f>N162+N167+N173</f>
        <v>19770</v>
      </c>
      <c r="I163" s="42">
        <v>2281.0</v>
      </c>
      <c r="J163" s="277" t="s">
        <v>98</v>
      </c>
      <c r="K163" s="310">
        <v>432.0</v>
      </c>
      <c r="L163" s="310">
        <v>764.0</v>
      </c>
      <c r="M163" s="310">
        <v>1171.0</v>
      </c>
      <c r="N163" s="310">
        <v>1825.0</v>
      </c>
      <c r="O163" s="45">
        <v>356.0</v>
      </c>
      <c r="P163" s="42">
        <f>O163+326</f>
        <v>682</v>
      </c>
      <c r="Q163" s="42">
        <v>1039.0</v>
      </c>
      <c r="R163" s="42">
        <v>0.0</v>
      </c>
      <c r="S163" s="111"/>
      <c r="T163" s="111"/>
      <c r="U163" s="111"/>
      <c r="V163" s="111"/>
      <c r="W163" s="111"/>
      <c r="X163" s="111"/>
      <c r="Y163" s="111"/>
    </row>
    <row r="164" ht="14.25" customHeight="1">
      <c r="B164" s="39"/>
      <c r="C164" s="109"/>
      <c r="D164" s="77" t="s">
        <v>451</v>
      </c>
      <c r="E164" s="77"/>
      <c r="F164" s="77"/>
      <c r="G164" s="77"/>
      <c r="H164" s="77">
        <f>I162+I167+I173</f>
        <v>20292</v>
      </c>
      <c r="I164" s="42"/>
      <c r="J164" s="277" t="s">
        <v>98</v>
      </c>
      <c r="K164" s="42"/>
      <c r="L164" s="42"/>
      <c r="M164" s="42"/>
      <c r="N164" s="42"/>
      <c r="O164" s="45"/>
      <c r="P164" s="42"/>
      <c r="Q164" s="42"/>
      <c r="R164" s="42"/>
      <c r="S164" s="111"/>
      <c r="T164" s="111"/>
      <c r="U164" s="111"/>
      <c r="V164" s="111"/>
      <c r="W164" s="111"/>
      <c r="X164" s="111"/>
      <c r="Y164" s="111"/>
    </row>
    <row r="165" ht="14.25" customHeight="1">
      <c r="B165" s="39"/>
      <c r="C165" s="109"/>
      <c r="D165" s="77" t="s">
        <v>246</v>
      </c>
      <c r="E165" s="77"/>
      <c r="F165" s="77"/>
      <c r="G165" s="77"/>
      <c r="H165" s="77">
        <f>H163/H164*100</f>
        <v>97.42755766</v>
      </c>
      <c r="I165" s="42"/>
      <c r="J165" s="110" t="s">
        <v>98</v>
      </c>
      <c r="K165" s="280"/>
      <c r="L165" s="280"/>
      <c r="M165" s="280"/>
      <c r="N165" s="280"/>
      <c r="O165" s="42"/>
      <c r="P165" s="42"/>
      <c r="Q165" s="42"/>
      <c r="R165" s="42"/>
      <c r="S165" s="111"/>
      <c r="T165" s="111"/>
      <c r="U165" s="111"/>
      <c r="V165" s="111"/>
      <c r="W165" s="111"/>
      <c r="X165" s="111"/>
      <c r="Y165" s="111"/>
    </row>
    <row r="166" ht="14.25" customHeight="1">
      <c r="B166" s="39"/>
      <c r="C166" s="109"/>
      <c r="D166" s="77" t="s">
        <v>246</v>
      </c>
      <c r="E166" s="77"/>
      <c r="F166" s="77"/>
      <c r="G166" s="77"/>
      <c r="H166" s="77"/>
      <c r="I166" s="42"/>
      <c r="J166" s="110" t="s">
        <v>98</v>
      </c>
      <c r="K166" s="42"/>
      <c r="L166" s="42"/>
      <c r="M166" s="42"/>
      <c r="N166" s="42"/>
      <c r="O166" s="42"/>
      <c r="P166" s="42"/>
      <c r="Q166" s="42"/>
      <c r="R166" s="42"/>
      <c r="S166" s="111"/>
      <c r="T166" s="111"/>
      <c r="U166" s="111"/>
      <c r="V166" s="111"/>
      <c r="W166" s="111"/>
      <c r="X166" s="111"/>
      <c r="Y166" s="111"/>
    </row>
    <row r="167" ht="14.25" customHeight="1">
      <c r="B167" s="39"/>
      <c r="C167" s="109" t="s">
        <v>247</v>
      </c>
      <c r="D167" s="77"/>
      <c r="E167" s="77"/>
      <c r="F167" s="77"/>
      <c r="G167" s="77"/>
      <c r="H167" s="77"/>
      <c r="I167" s="42">
        <f>SUM(I168:I171)</f>
        <v>1259</v>
      </c>
      <c r="J167" s="110" t="s">
        <v>98</v>
      </c>
      <c r="K167" s="42">
        <f t="shared" ref="K167:R167" si="153">SUM(K168:K171)</f>
        <v>254</v>
      </c>
      <c r="L167" s="42">
        <f t="shared" si="153"/>
        <v>499</v>
      </c>
      <c r="M167" s="42">
        <f t="shared" si="153"/>
        <v>761</v>
      </c>
      <c r="N167" s="42">
        <f t="shared" si="153"/>
        <v>1193</v>
      </c>
      <c r="O167" s="42">
        <f t="shared" si="153"/>
        <v>229</v>
      </c>
      <c r="P167" s="42">
        <f t="shared" si="153"/>
        <v>310</v>
      </c>
      <c r="Q167" s="42">
        <f t="shared" si="153"/>
        <v>486</v>
      </c>
      <c r="R167" s="42">
        <f t="shared" si="153"/>
        <v>243</v>
      </c>
      <c r="S167" s="111"/>
      <c r="T167" s="111"/>
      <c r="U167" s="111"/>
      <c r="V167" s="111"/>
      <c r="W167" s="111"/>
      <c r="X167" s="111"/>
      <c r="Y167" s="111"/>
    </row>
    <row r="168" ht="14.25" customHeight="1">
      <c r="B168" s="39"/>
      <c r="C168" s="109"/>
      <c r="D168" s="77" t="s">
        <v>248</v>
      </c>
      <c r="E168" s="77"/>
      <c r="F168" s="77"/>
      <c r="G168" s="77"/>
      <c r="H168" s="77"/>
      <c r="I168" s="42">
        <v>252.0</v>
      </c>
      <c r="J168" s="110" t="s">
        <v>98</v>
      </c>
      <c r="K168" s="42">
        <v>52.0</v>
      </c>
      <c r="L168" s="42">
        <v>104.0</v>
      </c>
      <c r="M168" s="42">
        <v>156.0</v>
      </c>
      <c r="N168" s="42">
        <v>208.0</v>
      </c>
      <c r="O168" s="42">
        <v>52.0</v>
      </c>
      <c r="P168" s="42">
        <v>92.0</v>
      </c>
      <c r="Q168" s="42">
        <v>153.0</v>
      </c>
      <c r="R168" s="42">
        <v>205.0</v>
      </c>
      <c r="S168" s="111"/>
      <c r="T168" s="111"/>
      <c r="U168" s="111"/>
      <c r="V168" s="111"/>
      <c r="W168" s="111"/>
      <c r="X168" s="111"/>
      <c r="Y168" s="111"/>
    </row>
    <row r="169" ht="14.25" customHeight="1">
      <c r="B169" s="39"/>
      <c r="C169" s="109"/>
      <c r="D169" s="77" t="s">
        <v>249</v>
      </c>
      <c r="E169" s="77"/>
      <c r="F169" s="77"/>
      <c r="G169" s="77"/>
      <c r="H169" s="77"/>
      <c r="I169" s="42">
        <v>11.0</v>
      </c>
      <c r="J169" s="110" t="s">
        <v>98</v>
      </c>
      <c r="K169" s="42">
        <v>5.0</v>
      </c>
      <c r="L169" s="42">
        <v>10.0</v>
      </c>
      <c r="M169" s="42">
        <v>15.0</v>
      </c>
      <c r="N169" s="42">
        <v>20.0</v>
      </c>
      <c r="O169" s="42">
        <v>5.0</v>
      </c>
      <c r="P169" s="42">
        <v>10.0</v>
      </c>
      <c r="Q169" s="42">
        <v>15.0</v>
      </c>
      <c r="R169" s="42">
        <v>20.0</v>
      </c>
      <c r="S169" s="111"/>
      <c r="T169" s="111"/>
      <c r="U169" s="111"/>
      <c r="V169" s="111"/>
      <c r="W169" s="111"/>
      <c r="X169" s="111"/>
      <c r="Y169" s="111"/>
    </row>
    <row r="170" ht="14.25" customHeight="1">
      <c r="B170" s="39"/>
      <c r="C170" s="109"/>
      <c r="D170" s="77" t="s">
        <v>250</v>
      </c>
      <c r="E170" s="77"/>
      <c r="F170" s="77"/>
      <c r="G170" s="77"/>
      <c r="H170" s="77"/>
      <c r="I170" s="42">
        <v>21.0</v>
      </c>
      <c r="J170" s="110" t="s">
        <v>98</v>
      </c>
      <c r="K170" s="42">
        <v>1.0</v>
      </c>
      <c r="L170" s="42">
        <v>2.0</v>
      </c>
      <c r="M170" s="42">
        <v>20.0</v>
      </c>
      <c r="N170" s="42">
        <v>21.0</v>
      </c>
      <c r="O170" s="42">
        <v>1.0</v>
      </c>
      <c r="P170" s="42">
        <v>2.0</v>
      </c>
      <c r="Q170" s="42">
        <v>15.0</v>
      </c>
      <c r="R170" s="42">
        <v>18.0</v>
      </c>
      <c r="S170" s="111"/>
      <c r="T170" s="111"/>
      <c r="U170" s="111"/>
      <c r="V170" s="111"/>
      <c r="W170" s="111"/>
      <c r="X170" s="111"/>
      <c r="Y170" s="111"/>
    </row>
    <row r="171" ht="14.25" customHeight="1">
      <c r="B171" s="39"/>
      <c r="C171" s="109"/>
      <c r="D171" s="77" t="s">
        <v>251</v>
      </c>
      <c r="E171" s="77"/>
      <c r="F171" s="77"/>
      <c r="G171" s="77"/>
      <c r="H171" s="77"/>
      <c r="I171" s="42">
        <f>195*5</f>
        <v>975</v>
      </c>
      <c r="J171" s="110" t="s">
        <v>98</v>
      </c>
      <c r="K171" s="42">
        <v>196.0</v>
      </c>
      <c r="L171" s="42">
        <f>196+187</f>
        <v>383</v>
      </c>
      <c r="M171" s="42">
        <f>383+187</f>
        <v>570</v>
      </c>
      <c r="N171" s="42">
        <f>570+187+187</f>
        <v>944</v>
      </c>
      <c r="O171" s="42">
        <v>171.0</v>
      </c>
      <c r="P171" s="42">
        <f>171+35</f>
        <v>206</v>
      </c>
      <c r="Q171" s="42">
        <v>303.0</v>
      </c>
      <c r="R171" s="42">
        <v>0.0</v>
      </c>
      <c r="S171" s="111"/>
      <c r="T171" s="111"/>
      <c r="U171" s="111"/>
      <c r="V171" s="111"/>
      <c r="W171" s="111"/>
      <c r="X171" s="111"/>
      <c r="Y171" s="111"/>
    </row>
    <row r="172" ht="14.25" customHeight="1">
      <c r="B172" s="39"/>
      <c r="C172" s="109"/>
      <c r="D172" s="77" t="s">
        <v>252</v>
      </c>
      <c r="E172" s="77"/>
      <c r="F172" s="77"/>
      <c r="G172" s="77"/>
      <c r="H172" s="77"/>
      <c r="I172" s="281"/>
      <c r="J172" s="110" t="s">
        <v>98</v>
      </c>
      <c r="K172" s="42"/>
      <c r="L172" s="42"/>
      <c r="M172" s="42"/>
      <c r="N172" s="42"/>
      <c r="O172" s="42"/>
      <c r="P172" s="42"/>
      <c r="Q172" s="42"/>
      <c r="R172" s="42"/>
      <c r="S172" s="111"/>
      <c r="T172" s="111"/>
      <c r="U172" s="111"/>
      <c r="V172" s="111"/>
      <c r="W172" s="111"/>
      <c r="X172" s="111"/>
      <c r="Y172" s="111"/>
    </row>
    <row r="173" ht="14.25" customHeight="1">
      <c r="B173" s="39"/>
      <c r="C173" s="109" t="s">
        <v>253</v>
      </c>
      <c r="D173" s="77"/>
      <c r="E173" s="77"/>
      <c r="F173" s="77"/>
      <c r="G173" s="77"/>
      <c r="H173" s="77"/>
      <c r="I173" s="369">
        <f>SUM(I174:I177)</f>
        <v>16752</v>
      </c>
      <c r="J173" s="110" t="s">
        <v>98</v>
      </c>
      <c r="K173" s="42">
        <f t="shared" ref="K173:R173" si="154">SUM(K174:K177)</f>
        <v>4188</v>
      </c>
      <c r="L173" s="42">
        <f t="shared" si="154"/>
        <v>8376</v>
      </c>
      <c r="M173" s="42">
        <f t="shared" si="154"/>
        <v>12564</v>
      </c>
      <c r="N173" s="42">
        <f t="shared" si="154"/>
        <v>16752</v>
      </c>
      <c r="O173" s="42">
        <f t="shared" si="154"/>
        <v>4188</v>
      </c>
      <c r="P173" s="42">
        <f t="shared" si="154"/>
        <v>8257</v>
      </c>
      <c r="Q173" s="42">
        <f t="shared" si="154"/>
        <v>12548</v>
      </c>
      <c r="R173" s="42">
        <f t="shared" si="154"/>
        <v>16324</v>
      </c>
      <c r="S173" s="111"/>
      <c r="T173" s="111"/>
      <c r="U173" s="111"/>
      <c r="V173" s="111"/>
      <c r="W173" s="111"/>
      <c r="X173" s="111"/>
      <c r="Y173" s="111"/>
    </row>
    <row r="174" ht="14.25" customHeight="1">
      <c r="B174" s="39"/>
      <c r="C174" s="109"/>
      <c r="D174" s="77" t="s">
        <v>254</v>
      </c>
      <c r="E174" s="77"/>
      <c r="F174" s="77"/>
      <c r="G174" s="77"/>
      <c r="H174" s="77"/>
      <c r="I174" s="42">
        <v>5556.0</v>
      </c>
      <c r="J174" s="110" t="s">
        <v>98</v>
      </c>
      <c r="K174" s="42">
        <f>463*3</f>
        <v>1389</v>
      </c>
      <c r="L174" s="42">
        <f>463*6</f>
        <v>2778</v>
      </c>
      <c r="M174" s="42">
        <f>463*9</f>
        <v>4167</v>
      </c>
      <c r="N174" s="42">
        <f>463*12</f>
        <v>5556</v>
      </c>
      <c r="O174" s="42">
        <f>463*3</f>
        <v>1389</v>
      </c>
      <c r="P174" s="42">
        <f>463*6</f>
        <v>2778</v>
      </c>
      <c r="Q174" s="42">
        <v>4162.0</v>
      </c>
      <c r="R174" s="42">
        <v>5547.0</v>
      </c>
      <c r="S174" s="111"/>
      <c r="T174" s="111"/>
      <c r="U174" s="111"/>
      <c r="V174" s="111"/>
      <c r="W174" s="111"/>
      <c r="X174" s="111"/>
      <c r="Y174" s="111"/>
    </row>
    <row r="175" ht="14.25" customHeight="1">
      <c r="B175" s="39"/>
      <c r="C175" s="109"/>
      <c r="D175" s="77" t="s">
        <v>255</v>
      </c>
      <c r="E175" s="77"/>
      <c r="F175" s="77"/>
      <c r="G175" s="77"/>
      <c r="H175" s="77"/>
      <c r="I175" s="42">
        <v>6048.0</v>
      </c>
      <c r="J175" s="110" t="s">
        <v>98</v>
      </c>
      <c r="K175" s="42">
        <f>504*3</f>
        <v>1512</v>
      </c>
      <c r="L175" s="42">
        <f>504*6</f>
        <v>3024</v>
      </c>
      <c r="M175" s="42">
        <f>504*9</f>
        <v>4536</v>
      </c>
      <c r="N175" s="42">
        <f>504*12</f>
        <v>6048</v>
      </c>
      <c r="O175" s="42">
        <f>504*3</f>
        <v>1512</v>
      </c>
      <c r="P175" s="42">
        <f>504*6</f>
        <v>3024</v>
      </c>
      <c r="Q175" s="42">
        <v>4525.0</v>
      </c>
      <c r="R175" s="42">
        <v>6006.0</v>
      </c>
      <c r="S175" s="111"/>
      <c r="T175" s="111"/>
      <c r="U175" s="111"/>
      <c r="V175" s="111"/>
      <c r="W175" s="111"/>
      <c r="X175" s="111"/>
      <c r="Y175" s="111"/>
    </row>
    <row r="176" ht="14.25" customHeight="1">
      <c r="B176" s="39"/>
      <c r="C176" s="109"/>
      <c r="D176" s="77" t="s">
        <v>256</v>
      </c>
      <c r="E176" s="77"/>
      <c r="F176" s="77"/>
      <c r="G176" s="77"/>
      <c r="H176" s="77">
        <f>143*9</f>
        <v>1287</v>
      </c>
      <c r="I176" s="42">
        <f>143*12</f>
        <v>1716</v>
      </c>
      <c r="J176" s="110" t="s">
        <v>98</v>
      </c>
      <c r="K176" s="42">
        <f>143*3</f>
        <v>429</v>
      </c>
      <c r="L176" s="42">
        <f>143*6</f>
        <v>858</v>
      </c>
      <c r="M176" s="42">
        <f>143*9</f>
        <v>1287</v>
      </c>
      <c r="N176" s="42">
        <f>143*12</f>
        <v>1716</v>
      </c>
      <c r="O176" s="42">
        <v>429.0</v>
      </c>
      <c r="P176" s="42">
        <v>858.0</v>
      </c>
      <c r="Q176" s="42">
        <v>1287.0</v>
      </c>
      <c r="R176" s="42">
        <v>1716.0</v>
      </c>
      <c r="S176" s="111"/>
      <c r="T176" s="111"/>
      <c r="U176" s="111"/>
      <c r="V176" s="111"/>
      <c r="W176" s="111"/>
      <c r="X176" s="111"/>
      <c r="Y176" s="111"/>
    </row>
    <row r="177" ht="14.25" customHeight="1">
      <c r="B177" s="39"/>
      <c r="C177" s="109"/>
      <c r="D177" s="77" t="s">
        <v>257</v>
      </c>
      <c r="E177" s="77"/>
      <c r="F177" s="77"/>
      <c r="G177" s="77"/>
      <c r="H177" s="77"/>
      <c r="I177" s="42">
        <v>3432.0</v>
      </c>
      <c r="J177" s="110" t="s">
        <v>98</v>
      </c>
      <c r="K177" s="42">
        <v>858.0</v>
      </c>
      <c r="L177" s="42">
        <f>858*2</f>
        <v>1716</v>
      </c>
      <c r="M177" s="42">
        <f>858*3</f>
        <v>2574</v>
      </c>
      <c r="N177" s="42">
        <f>858*4</f>
        <v>3432</v>
      </c>
      <c r="O177" s="42">
        <v>858.0</v>
      </c>
      <c r="P177" s="42">
        <f>858+739</f>
        <v>1597</v>
      </c>
      <c r="Q177" s="42">
        <v>2574.0</v>
      </c>
      <c r="R177" s="42">
        <v>3055.0</v>
      </c>
      <c r="S177" s="111"/>
      <c r="T177" s="111"/>
      <c r="U177" s="111"/>
      <c r="V177" s="111"/>
      <c r="W177" s="111"/>
      <c r="X177" s="111"/>
      <c r="Y177" s="111"/>
    </row>
    <row r="178" ht="14.25" customHeight="1">
      <c r="B178" s="39" t="s">
        <v>258</v>
      </c>
      <c r="C178" s="39"/>
      <c r="D178" s="77"/>
      <c r="E178" s="77"/>
      <c r="F178" s="77"/>
      <c r="G178" s="77"/>
      <c r="H178" s="77"/>
      <c r="I178" s="159">
        <v>100.0</v>
      </c>
      <c r="J178" s="103" t="s">
        <v>35</v>
      </c>
      <c r="K178" s="42">
        <v>24.97</v>
      </c>
      <c r="L178" s="42">
        <v>49.45</v>
      </c>
      <c r="M178" s="42">
        <v>74.95</v>
      </c>
      <c r="N178" s="42">
        <v>100.0</v>
      </c>
      <c r="O178" s="42">
        <v>24.22</v>
      </c>
      <c r="P178" s="42">
        <v>47.6</v>
      </c>
      <c r="Q178" s="370">
        <f>(Q173+Q167+Q162)/I179*100</f>
        <v>69.35245417</v>
      </c>
      <c r="R178" s="42"/>
      <c r="S178" s="46">
        <f t="shared" ref="S178:U178" si="155">IF(K178=0,0,IF((O178/K178*100)&gt;120,120,O178/K178*100))</f>
        <v>96.99639567</v>
      </c>
      <c r="T178" s="46">
        <f t="shared" si="155"/>
        <v>96.25884732</v>
      </c>
      <c r="U178" s="46">
        <f t="shared" si="155"/>
        <v>92.53162664</v>
      </c>
      <c r="V178" s="46">
        <f t="shared" ref="V178:Y178" si="156">IF($N178=0,0,IF((O178/$N178*100)&gt;120,120,O178/$N178*100))</f>
        <v>24.22</v>
      </c>
      <c r="W178" s="46">
        <f t="shared" si="156"/>
        <v>47.6</v>
      </c>
      <c r="X178" s="46">
        <f t="shared" si="156"/>
        <v>69.35245417</v>
      </c>
      <c r="Y178" s="46">
        <f t="shared" si="156"/>
        <v>0</v>
      </c>
    </row>
    <row r="179" ht="14.25" customHeight="1">
      <c r="B179" s="77"/>
      <c r="C179" s="77"/>
      <c r="D179" s="77"/>
      <c r="E179" s="77"/>
      <c r="F179" s="77"/>
      <c r="G179" s="77"/>
      <c r="H179" s="77"/>
      <c r="I179" s="77">
        <f>I162+I167+I173</f>
        <v>20292</v>
      </c>
      <c r="J179" s="77"/>
      <c r="K179" s="77"/>
      <c r="L179" s="77"/>
      <c r="M179" s="77"/>
      <c r="N179" s="77"/>
      <c r="O179" s="77"/>
      <c r="P179" s="77"/>
      <c r="Q179" s="135"/>
      <c r="R179" s="77"/>
      <c r="S179" s="77"/>
      <c r="T179" s="77"/>
      <c r="U179" s="77"/>
      <c r="V179" s="77"/>
      <c r="W179" s="77"/>
      <c r="X179" s="77"/>
      <c r="Y179" s="77"/>
    </row>
    <row r="180" ht="14.25" customHeight="1">
      <c r="B180" s="282"/>
      <c r="C180" s="283"/>
      <c r="D180" s="284"/>
      <c r="E180" s="284"/>
      <c r="F180" s="284"/>
      <c r="G180" s="285" t="s">
        <v>452</v>
      </c>
      <c r="H180" s="284"/>
      <c r="I180" s="284"/>
      <c r="J180" s="284"/>
      <c r="K180" s="286"/>
      <c r="L180" s="286"/>
      <c r="M180" s="286"/>
      <c r="N180" s="286"/>
      <c r="O180" s="286"/>
      <c r="P180" s="286"/>
      <c r="Q180" s="286"/>
      <c r="R180" s="286"/>
      <c r="S180" s="287">
        <f t="shared" ref="S180:U180" si="157">IF(SUM(K152:K161,K178)&gt;0,SUM(S152:S161,S178)/SUM(COUNTIF(K152:K161,"&gt;0"),COUNTIF(K178,"&gt;0")),0)</f>
        <v>96.23414434</v>
      </c>
      <c r="T180" s="287">
        <f t="shared" si="157"/>
        <v>93.52341022</v>
      </c>
      <c r="U180" s="287">
        <f t="shared" si="157"/>
        <v>92.56267265</v>
      </c>
      <c r="V180" s="287">
        <f t="shared" ref="V180:Y180" si="158">IF(SUM($N152:$N179)&gt;0,SUM(V152:V179)/COUNTIF($N152:$N179,"&gt;0"),0)</f>
        <v>4.553267392</v>
      </c>
      <c r="W180" s="287">
        <f t="shared" si="158"/>
        <v>6.446748679</v>
      </c>
      <c r="X180" s="287">
        <f t="shared" si="158"/>
        <v>8.440020115</v>
      </c>
      <c r="Y180" s="287">
        <f t="shared" si="158"/>
        <v>35.35662893</v>
      </c>
    </row>
    <row r="181" ht="14.25" customHeight="1">
      <c r="S181" s="244">
        <f t="shared" ref="S181:X181" si="159">SUM(S153:S178)/3</f>
        <v>96.23414434</v>
      </c>
      <c r="T181" s="244">
        <f t="shared" si="159"/>
        <v>93.52341022</v>
      </c>
      <c r="U181" s="244">
        <f t="shared" si="159"/>
        <v>92.56267265</v>
      </c>
      <c r="V181" s="244">
        <f t="shared" si="159"/>
        <v>31.87287174</v>
      </c>
      <c r="W181" s="244">
        <f t="shared" si="159"/>
        <v>45.12724075</v>
      </c>
      <c r="X181" s="244">
        <f t="shared" si="159"/>
        <v>59.08014081</v>
      </c>
      <c r="Y181" s="244">
        <f>SUM(Y153:Y178)/9</f>
        <v>82.49880084</v>
      </c>
    </row>
    <row r="182" ht="14.25" customHeight="1"/>
    <row r="183" ht="14.25" customHeight="1">
      <c r="B183" s="4" t="s">
        <v>260</v>
      </c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6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</row>
    <row r="184" ht="15.75" customHeight="1">
      <c r="B184" s="150" t="s">
        <v>2</v>
      </c>
      <c r="C184" s="8"/>
      <c r="D184" s="8"/>
      <c r="E184" s="8"/>
      <c r="F184" s="8"/>
      <c r="G184" s="8"/>
      <c r="H184" s="8"/>
      <c r="I184" s="273"/>
      <c r="J184" s="152" t="s">
        <v>3</v>
      </c>
      <c r="K184" s="11"/>
      <c r="L184" s="11"/>
      <c r="M184" s="11"/>
      <c r="N184" s="11"/>
      <c r="O184" s="11"/>
      <c r="P184" s="11"/>
      <c r="Q184" s="11"/>
      <c r="R184" s="12"/>
      <c r="S184" s="152" t="s">
        <v>4</v>
      </c>
      <c r="T184" s="11"/>
      <c r="U184" s="11"/>
      <c r="V184" s="11"/>
      <c r="W184" s="11"/>
      <c r="X184" s="11"/>
      <c r="Y184" s="12"/>
    </row>
    <row r="185" ht="14.25" customHeight="1">
      <c r="B185" s="13"/>
      <c r="I185" s="92"/>
      <c r="J185" s="153" t="s">
        <v>5</v>
      </c>
      <c r="K185" s="154" t="s">
        <v>62</v>
      </c>
      <c r="L185" s="17"/>
      <c r="M185" s="17"/>
      <c r="N185" s="18"/>
      <c r="O185" s="154" t="s">
        <v>63</v>
      </c>
      <c r="P185" s="17"/>
      <c r="Q185" s="17"/>
      <c r="R185" s="18"/>
      <c r="S185" s="154" t="s">
        <v>64</v>
      </c>
      <c r="T185" s="17"/>
      <c r="U185" s="18"/>
      <c r="V185" s="154" t="s">
        <v>9</v>
      </c>
      <c r="W185" s="17"/>
      <c r="X185" s="17"/>
      <c r="Y185" s="18"/>
    </row>
    <row r="186" ht="14.25" customHeight="1">
      <c r="B186" s="19"/>
      <c r="C186" s="20"/>
      <c r="D186" s="20"/>
      <c r="E186" s="20"/>
      <c r="F186" s="20"/>
      <c r="G186" s="20"/>
      <c r="H186" s="20"/>
      <c r="I186" s="21"/>
      <c r="J186" s="22"/>
      <c r="K186" s="155" t="s">
        <v>10</v>
      </c>
      <c r="L186" s="155" t="s">
        <v>11</v>
      </c>
      <c r="M186" s="155" t="s">
        <v>12</v>
      </c>
      <c r="N186" s="155" t="s">
        <v>13</v>
      </c>
      <c r="O186" s="155" t="s">
        <v>10</v>
      </c>
      <c r="P186" s="155" t="s">
        <v>11</v>
      </c>
      <c r="Q186" s="155" t="s">
        <v>12</v>
      </c>
      <c r="R186" s="155" t="s">
        <v>13</v>
      </c>
      <c r="S186" s="155" t="s">
        <v>10</v>
      </c>
      <c r="T186" s="155" t="s">
        <v>11</v>
      </c>
      <c r="U186" s="155" t="s">
        <v>12</v>
      </c>
      <c r="V186" s="155" t="s">
        <v>10</v>
      </c>
      <c r="W186" s="155" t="s">
        <v>11</v>
      </c>
      <c r="X186" s="155" t="s">
        <v>12</v>
      </c>
      <c r="Y186" s="155" t="s">
        <v>13</v>
      </c>
    </row>
    <row r="187" ht="14.25" customHeight="1">
      <c r="B187" s="157">
        <v>-1.0</v>
      </c>
      <c r="C187" s="27"/>
      <c r="D187" s="27"/>
      <c r="E187" s="27"/>
      <c r="F187" s="27"/>
      <c r="G187" s="27"/>
      <c r="H187" s="27"/>
      <c r="I187" s="274"/>
      <c r="J187" s="158">
        <v>-2.0</v>
      </c>
      <c r="K187" s="158">
        <v>-3.0</v>
      </c>
      <c r="L187" s="158">
        <v>-4.0</v>
      </c>
      <c r="M187" s="158">
        <v>-5.0</v>
      </c>
      <c r="N187" s="158">
        <v>-6.0</v>
      </c>
      <c r="O187" s="158">
        <v>-7.0</v>
      </c>
      <c r="P187" s="158">
        <v>-8.0</v>
      </c>
      <c r="Q187" s="158">
        <v>-9.0</v>
      </c>
      <c r="R187" s="158">
        <v>-10.0</v>
      </c>
      <c r="S187" s="158">
        <v>-11.0</v>
      </c>
      <c r="T187" s="158">
        <v>-12.0</v>
      </c>
      <c r="U187" s="158">
        <v>-13.0</v>
      </c>
      <c r="V187" s="158">
        <v>-14.0</v>
      </c>
      <c r="W187" s="158">
        <v>-15.0</v>
      </c>
      <c r="X187" s="158">
        <v>-16.0</v>
      </c>
      <c r="Y187" s="158">
        <v>-17.0</v>
      </c>
    </row>
    <row r="188" ht="14.25" customHeight="1">
      <c r="B188" s="35"/>
      <c r="C188" s="35"/>
      <c r="D188" s="35"/>
      <c r="E188" s="35"/>
      <c r="F188" s="35"/>
      <c r="G188" s="35"/>
      <c r="H188" s="35"/>
      <c r="I188" s="35"/>
      <c r="J188" s="35"/>
      <c r="K188" s="35"/>
      <c r="L188" s="35"/>
      <c r="M188" s="35"/>
      <c r="N188" s="35"/>
      <c r="O188" s="35"/>
      <c r="P188" s="35"/>
      <c r="Q188" s="35"/>
      <c r="R188" s="35"/>
      <c r="S188" s="35"/>
      <c r="T188" s="35"/>
      <c r="U188" s="35"/>
      <c r="V188" s="35"/>
      <c r="W188" s="35"/>
      <c r="X188" s="35"/>
      <c r="Y188" s="35"/>
    </row>
    <row r="189" ht="14.25" customHeight="1">
      <c r="B189" s="39" t="s">
        <v>261</v>
      </c>
      <c r="C189" s="39"/>
      <c r="D189" s="77"/>
      <c r="E189" s="77"/>
      <c r="F189" s="77"/>
      <c r="G189" s="77"/>
      <c r="H189" s="77"/>
      <c r="I189" s="159">
        <f t="shared" ref="I189:I197" si="163">N189</f>
        <v>7</v>
      </c>
      <c r="J189" s="103" t="s">
        <v>85</v>
      </c>
      <c r="K189" s="39">
        <f t="shared" ref="K189:R189" si="160">SUM(K190:K191)</f>
        <v>0</v>
      </c>
      <c r="L189" s="39">
        <f t="shared" si="160"/>
        <v>0</v>
      </c>
      <c r="M189" s="60">
        <f t="shared" si="160"/>
        <v>1</v>
      </c>
      <c r="N189" s="160">
        <f t="shared" si="160"/>
        <v>7</v>
      </c>
      <c r="O189" s="62">
        <f t="shared" si="160"/>
        <v>0</v>
      </c>
      <c r="P189" s="39">
        <f t="shared" si="160"/>
        <v>0</v>
      </c>
      <c r="Q189" s="39">
        <f t="shared" si="160"/>
        <v>1</v>
      </c>
      <c r="R189" s="39">
        <f t="shared" si="160"/>
        <v>1</v>
      </c>
      <c r="S189" s="46">
        <f t="shared" ref="S189:U189" si="161">IF(K189=0,0,IF((O189/K189*100)&gt;120,120,O189/K189*100))</f>
        <v>0</v>
      </c>
      <c r="T189" s="46">
        <f t="shared" si="161"/>
        <v>0</v>
      </c>
      <c r="U189" s="46">
        <f t="shared" si="161"/>
        <v>100</v>
      </c>
      <c r="V189" s="46">
        <f t="shared" ref="V189:Y189" si="162">IF($N189=0,0,IF((O189/$N189*100)&gt;120,120,O189/$N189*100))</f>
        <v>0</v>
      </c>
      <c r="W189" s="46">
        <f t="shared" si="162"/>
        <v>0</v>
      </c>
      <c r="X189" s="46">
        <f t="shared" si="162"/>
        <v>14.28571429</v>
      </c>
      <c r="Y189" s="46">
        <f t="shared" si="162"/>
        <v>14.28571429</v>
      </c>
    </row>
    <row r="190" ht="14.25" customHeight="1">
      <c r="B190" s="39"/>
      <c r="C190" s="109" t="s">
        <v>262</v>
      </c>
      <c r="D190" s="77"/>
      <c r="E190" s="77"/>
      <c r="F190" s="77"/>
      <c r="G190" s="77"/>
      <c r="H190" s="77"/>
      <c r="I190" s="159">
        <f t="shared" si="163"/>
        <v>2</v>
      </c>
      <c r="J190" s="110" t="s">
        <v>87</v>
      </c>
      <c r="K190" s="42">
        <v>0.0</v>
      </c>
      <c r="L190" s="42">
        <v>0.0</v>
      </c>
      <c r="M190" s="42">
        <v>1.0</v>
      </c>
      <c r="N190" s="42">
        <v>2.0</v>
      </c>
      <c r="O190" s="42">
        <v>0.0</v>
      </c>
      <c r="P190" s="42">
        <v>0.0</v>
      </c>
      <c r="Q190" s="42">
        <v>1.0</v>
      </c>
      <c r="R190" s="42">
        <v>1.0</v>
      </c>
      <c r="S190" s="46">
        <f t="shared" ref="S190:U190" si="164">IF(K190=0,0,IF((O190/K190*100)&gt;120,120,O190/K190*100))</f>
        <v>0</v>
      </c>
      <c r="T190" s="46">
        <f t="shared" si="164"/>
        <v>0</v>
      </c>
      <c r="U190" s="46">
        <f t="shared" si="164"/>
        <v>100</v>
      </c>
      <c r="V190" s="46">
        <f t="shared" ref="V190:Y190" si="165">IF($N190=0,0,IF((O190/$N190*100)&gt;120,120,O190/$N190*100))</f>
        <v>0</v>
      </c>
      <c r="W190" s="46">
        <f t="shared" si="165"/>
        <v>0</v>
      </c>
      <c r="X190" s="46">
        <f t="shared" si="165"/>
        <v>50</v>
      </c>
      <c r="Y190" s="46">
        <f t="shared" si="165"/>
        <v>50</v>
      </c>
    </row>
    <row r="191" ht="14.25" customHeight="1">
      <c r="B191" s="39"/>
      <c r="C191" s="109" t="s">
        <v>263</v>
      </c>
      <c r="D191" s="77"/>
      <c r="E191" s="77"/>
      <c r="F191" s="77"/>
      <c r="G191" s="77"/>
      <c r="H191" s="77"/>
      <c r="I191" s="159">
        <f t="shared" si="163"/>
        <v>5</v>
      </c>
      <c r="J191" s="110" t="s">
        <v>66</v>
      </c>
      <c r="K191" s="42">
        <v>0.0</v>
      </c>
      <c r="L191" s="42">
        <v>0.0</v>
      </c>
      <c r="M191" s="42">
        <v>0.0</v>
      </c>
      <c r="N191" s="42">
        <v>5.0</v>
      </c>
      <c r="O191" s="42">
        <v>0.0</v>
      </c>
      <c r="P191" s="42">
        <v>0.0</v>
      </c>
      <c r="Q191" s="42">
        <v>0.0</v>
      </c>
      <c r="R191" s="42"/>
      <c r="S191" s="46">
        <f t="shared" ref="S191:U191" si="166">IF(K191=0,0,IF((O191/K191*100)&gt;120,120,O191/K191*100))</f>
        <v>0</v>
      </c>
      <c r="T191" s="46">
        <f t="shared" si="166"/>
        <v>0</v>
      </c>
      <c r="U191" s="46">
        <f t="shared" si="166"/>
        <v>0</v>
      </c>
      <c r="V191" s="46">
        <f t="shared" ref="V191:Y191" si="167">IF($N191=0,0,IF((O191/$N191*100)&gt;120,120,O191/$N191*100))</f>
        <v>0</v>
      </c>
      <c r="W191" s="46">
        <f t="shared" si="167"/>
        <v>0</v>
      </c>
      <c r="X191" s="46">
        <f t="shared" si="167"/>
        <v>0</v>
      </c>
      <c r="Y191" s="46">
        <f t="shared" si="167"/>
        <v>0</v>
      </c>
    </row>
    <row r="192" ht="14.25" customHeight="1">
      <c r="B192" s="39" t="s">
        <v>264</v>
      </c>
      <c r="C192" s="39"/>
      <c r="D192" s="77"/>
      <c r="E192" s="77"/>
      <c r="F192" s="77"/>
      <c r="G192" s="77"/>
      <c r="H192" s="77"/>
      <c r="I192" s="159">
        <f t="shared" si="163"/>
        <v>7</v>
      </c>
      <c r="J192" s="103" t="s">
        <v>85</v>
      </c>
      <c r="K192" s="39">
        <f t="shared" ref="K192:R192" si="168">SUM(K193:K194)</f>
        <v>0</v>
      </c>
      <c r="L192" s="39">
        <f t="shared" si="168"/>
        <v>0</v>
      </c>
      <c r="M192" s="60">
        <f t="shared" si="168"/>
        <v>1</v>
      </c>
      <c r="N192" s="160">
        <f t="shared" si="168"/>
        <v>7</v>
      </c>
      <c r="O192" s="62">
        <f t="shared" si="168"/>
        <v>0</v>
      </c>
      <c r="P192" s="39">
        <f t="shared" si="168"/>
        <v>0</v>
      </c>
      <c r="Q192" s="39">
        <f t="shared" si="168"/>
        <v>1</v>
      </c>
      <c r="R192" s="39">
        <f t="shared" si="168"/>
        <v>1</v>
      </c>
      <c r="S192" s="46">
        <f t="shared" ref="S192:U192" si="169">IF(K192=0,0,IF((O192/K192*100)&gt;120,120,O192/K192*100))</f>
        <v>0</v>
      </c>
      <c r="T192" s="46">
        <f t="shared" si="169"/>
        <v>0</v>
      </c>
      <c r="U192" s="46">
        <f t="shared" si="169"/>
        <v>100</v>
      </c>
      <c r="V192" s="46">
        <f t="shared" ref="V192:Y192" si="170">IF($N192=0,0,IF((O192/$N192*100)&gt;120,120,O192/$N192*100))</f>
        <v>0</v>
      </c>
      <c r="W192" s="46">
        <f t="shared" si="170"/>
        <v>0</v>
      </c>
      <c r="X192" s="46">
        <f t="shared" si="170"/>
        <v>14.28571429</v>
      </c>
      <c r="Y192" s="46">
        <f t="shared" si="170"/>
        <v>14.28571429</v>
      </c>
    </row>
    <row r="193" ht="14.25" customHeight="1">
      <c r="B193" s="39"/>
      <c r="C193" s="109" t="s">
        <v>265</v>
      </c>
      <c r="D193" s="77"/>
      <c r="E193" s="77"/>
      <c r="F193" s="77"/>
      <c r="G193" s="77"/>
      <c r="H193" s="77"/>
      <c r="I193" s="159">
        <f t="shared" si="163"/>
        <v>2</v>
      </c>
      <c r="J193" s="110" t="s">
        <v>87</v>
      </c>
      <c r="K193" s="42">
        <v>0.0</v>
      </c>
      <c r="L193" s="42">
        <v>0.0</v>
      </c>
      <c r="M193" s="42">
        <v>1.0</v>
      </c>
      <c r="N193" s="42">
        <v>2.0</v>
      </c>
      <c r="O193" s="42">
        <v>0.0</v>
      </c>
      <c r="P193" s="42">
        <v>0.0</v>
      </c>
      <c r="Q193" s="42">
        <v>1.0</v>
      </c>
      <c r="R193" s="42">
        <v>1.0</v>
      </c>
      <c r="S193" s="46">
        <f t="shared" ref="S193:U193" si="171">IF(K193=0,0,IF((O193/K193*100)&gt;120,120,O193/K193*100))</f>
        <v>0</v>
      </c>
      <c r="T193" s="46">
        <f t="shared" si="171"/>
        <v>0</v>
      </c>
      <c r="U193" s="46">
        <f t="shared" si="171"/>
        <v>100</v>
      </c>
      <c r="V193" s="46">
        <f t="shared" ref="V193:Y193" si="172">IF($N193=0,0,IF((O193/$N193*100)&gt;120,120,O193/$N193*100))</f>
        <v>0</v>
      </c>
      <c r="W193" s="46">
        <f t="shared" si="172"/>
        <v>0</v>
      </c>
      <c r="X193" s="46">
        <f t="shared" si="172"/>
        <v>50</v>
      </c>
      <c r="Y193" s="46">
        <f t="shared" si="172"/>
        <v>50</v>
      </c>
    </row>
    <row r="194" ht="14.25" customHeight="1">
      <c r="B194" s="39"/>
      <c r="C194" s="109" t="s">
        <v>266</v>
      </c>
      <c r="D194" s="77"/>
      <c r="E194" s="77"/>
      <c r="F194" s="77"/>
      <c r="G194" s="77"/>
      <c r="H194" s="77"/>
      <c r="I194" s="159">
        <f t="shared" si="163"/>
        <v>5</v>
      </c>
      <c r="J194" s="110" t="s">
        <v>66</v>
      </c>
      <c r="K194" s="42">
        <v>0.0</v>
      </c>
      <c r="L194" s="42">
        <v>0.0</v>
      </c>
      <c r="M194" s="42">
        <v>0.0</v>
      </c>
      <c r="N194" s="42">
        <v>5.0</v>
      </c>
      <c r="O194" s="42">
        <v>0.0</v>
      </c>
      <c r="P194" s="42">
        <v>0.0</v>
      </c>
      <c r="Q194" s="42">
        <v>0.0</v>
      </c>
      <c r="R194" s="42"/>
      <c r="S194" s="46">
        <f t="shared" ref="S194:U194" si="173">IF(K194=0,0,IF((O194/K194*100)&gt;120,120,O194/K194*100))</f>
        <v>0</v>
      </c>
      <c r="T194" s="46">
        <f t="shared" si="173"/>
        <v>0</v>
      </c>
      <c r="U194" s="46">
        <f t="shared" si="173"/>
        <v>0</v>
      </c>
      <c r="V194" s="46">
        <f t="shared" ref="V194:Y194" si="174">IF($N194=0,0,IF((O194/$N194*100)&gt;120,120,O194/$N194*100))</f>
        <v>0</v>
      </c>
      <c r="W194" s="46">
        <f t="shared" si="174"/>
        <v>0</v>
      </c>
      <c r="X194" s="46">
        <f t="shared" si="174"/>
        <v>0</v>
      </c>
      <c r="Y194" s="46">
        <f t="shared" si="174"/>
        <v>0</v>
      </c>
    </row>
    <row r="195" ht="14.25" customHeight="1">
      <c r="B195" s="39" t="s">
        <v>267</v>
      </c>
      <c r="C195" s="39"/>
      <c r="D195" s="77"/>
      <c r="E195" s="77"/>
      <c r="F195" s="77"/>
      <c r="G195" s="77"/>
      <c r="H195" s="77"/>
      <c r="I195" s="159">
        <f t="shared" si="163"/>
        <v>2</v>
      </c>
      <c r="J195" s="103" t="s">
        <v>87</v>
      </c>
      <c r="K195" s="42">
        <v>0.0</v>
      </c>
      <c r="L195" s="42">
        <v>0.0</v>
      </c>
      <c r="M195" s="42">
        <v>0.0</v>
      </c>
      <c r="N195" s="42">
        <v>2.0</v>
      </c>
      <c r="O195" s="42">
        <v>0.0</v>
      </c>
      <c r="P195" s="42">
        <v>0.0</v>
      </c>
      <c r="Q195" s="42">
        <v>0.0</v>
      </c>
      <c r="R195" s="42">
        <v>1.0</v>
      </c>
      <c r="S195" s="46">
        <f t="shared" ref="S195:U195" si="175">IF(K195=0,0,IF((O195/K195*100)&gt;120,120,O195/K195*100))</f>
        <v>0</v>
      </c>
      <c r="T195" s="46">
        <f t="shared" si="175"/>
        <v>0</v>
      </c>
      <c r="U195" s="46">
        <f t="shared" si="175"/>
        <v>0</v>
      </c>
      <c r="V195" s="46">
        <f t="shared" ref="V195:Y195" si="176">IF($N195=0,0,IF((O195/$N195*100)&gt;120,120,O195/$N195*100))</f>
        <v>0</v>
      </c>
      <c r="W195" s="46">
        <f t="shared" si="176"/>
        <v>0</v>
      </c>
      <c r="X195" s="46">
        <f t="shared" si="176"/>
        <v>0</v>
      </c>
      <c r="Y195" s="46">
        <f t="shared" si="176"/>
        <v>50</v>
      </c>
    </row>
    <row r="196" ht="14.25" customHeight="1">
      <c r="B196" s="39" t="s">
        <v>268</v>
      </c>
      <c r="C196" s="39"/>
      <c r="D196" s="77"/>
      <c r="E196" s="77"/>
      <c r="F196" s="77"/>
      <c r="G196" s="77"/>
      <c r="H196" s="77"/>
      <c r="I196" s="159">
        <f t="shared" si="163"/>
        <v>0</v>
      </c>
      <c r="J196" s="103" t="s">
        <v>95</v>
      </c>
      <c r="K196" s="42">
        <v>0.0</v>
      </c>
      <c r="L196" s="42">
        <v>0.0</v>
      </c>
      <c r="M196" s="42">
        <v>0.0</v>
      </c>
      <c r="N196" s="42">
        <v>0.0</v>
      </c>
      <c r="O196" s="42">
        <v>0.0</v>
      </c>
      <c r="P196" s="42">
        <v>0.0</v>
      </c>
      <c r="Q196" s="42">
        <v>0.0</v>
      </c>
      <c r="R196" s="42">
        <v>0.0</v>
      </c>
      <c r="S196" s="46">
        <f t="shared" ref="S196:U196" si="177">IF(K196=0,0,IF((O196/K196*100)&gt;120,120,O196/K196*100))</f>
        <v>0</v>
      </c>
      <c r="T196" s="46">
        <f t="shared" si="177"/>
        <v>0</v>
      </c>
      <c r="U196" s="46">
        <f t="shared" si="177"/>
        <v>0</v>
      </c>
      <c r="V196" s="46">
        <f t="shared" ref="V196:Y196" si="178">IF($N196=0,0,IF((O196/$N196*100)&gt;120,120,O196/$N196*100))</f>
        <v>0</v>
      </c>
      <c r="W196" s="46">
        <f t="shared" si="178"/>
        <v>0</v>
      </c>
      <c r="X196" s="46">
        <f t="shared" si="178"/>
        <v>0</v>
      </c>
      <c r="Y196" s="46">
        <f t="shared" si="178"/>
        <v>0</v>
      </c>
    </row>
    <row r="197" ht="14.25" customHeight="1">
      <c r="B197" s="39" t="s">
        <v>269</v>
      </c>
      <c r="C197" s="39"/>
      <c r="D197" s="77"/>
      <c r="E197" s="77"/>
      <c r="F197" s="77"/>
      <c r="G197" s="77"/>
      <c r="H197" s="77"/>
      <c r="I197" s="293">
        <f t="shared" si="163"/>
        <v>98.09058615</v>
      </c>
      <c r="J197" s="103" t="s">
        <v>35</v>
      </c>
      <c r="K197" s="254">
        <f t="shared" ref="K197:P197" si="179">IF($I203=0,0,AVERAGE(IF($I203&gt;0,K203/$I203*100,0)))</f>
        <v>16.74067496</v>
      </c>
      <c r="L197" s="254">
        <f t="shared" si="179"/>
        <v>32.08259325</v>
      </c>
      <c r="M197" s="254">
        <f t="shared" si="179"/>
        <v>53.70781528</v>
      </c>
      <c r="N197" s="254">
        <f t="shared" si="179"/>
        <v>98.09058615</v>
      </c>
      <c r="O197" s="254">
        <f t="shared" si="179"/>
        <v>16.74067496</v>
      </c>
      <c r="P197" s="254">
        <f t="shared" si="179"/>
        <v>32.94849023</v>
      </c>
      <c r="Q197" s="254">
        <f t="shared" ref="Q197:R197" si="180">IF($I198+$I203+$I209=0,0,AVERAGE(IF($I198&gt;0,Q198/$I198*100,0),IF($I203&gt;0,Q203/$I203*100,0),IF($I209&gt;0,Q209/$I209*100,0)))</f>
        <v>26.85760805</v>
      </c>
      <c r="R197" s="254">
        <f t="shared" si="180"/>
        <v>30.07696862</v>
      </c>
      <c r="S197" s="46">
        <f t="shared" ref="S197:U197" si="181">IF(K197=0,0,IF((O197/K197*100)&gt;120,120,O197/K197*100))</f>
        <v>100</v>
      </c>
      <c r="T197" s="46">
        <f t="shared" si="181"/>
        <v>102.6989619</v>
      </c>
      <c r="U197" s="46">
        <f t="shared" si="181"/>
        <v>50.0068899</v>
      </c>
      <c r="V197" s="46">
        <f t="shared" ref="V197:Y197" si="182">IF($N197=0,0,IF((O197/$N197*100)&gt;120,120,O197/$N197*100))</f>
        <v>17.06654595</v>
      </c>
      <c r="W197" s="46">
        <f t="shared" si="182"/>
        <v>33.58985967</v>
      </c>
      <c r="X197" s="46">
        <f t="shared" si="182"/>
        <v>27.38041346</v>
      </c>
      <c r="Y197" s="46">
        <f t="shared" si="182"/>
        <v>30.66244153</v>
      </c>
    </row>
    <row r="198" ht="14.25" customHeight="1">
      <c r="B198" s="39"/>
      <c r="C198" s="109" t="s">
        <v>270</v>
      </c>
      <c r="D198" s="77"/>
      <c r="E198" s="77"/>
      <c r="F198" s="77"/>
      <c r="G198" s="77"/>
      <c r="H198" s="77"/>
      <c r="I198" s="42">
        <f>SUM(I199:I202)</f>
        <v>0</v>
      </c>
      <c r="J198" s="110" t="s">
        <v>98</v>
      </c>
      <c r="K198" s="42">
        <f t="shared" ref="K198:R198" si="183">SUM(K199:K202)</f>
        <v>0</v>
      </c>
      <c r="L198" s="42">
        <f t="shared" si="183"/>
        <v>0</v>
      </c>
      <c r="M198" s="42">
        <f t="shared" si="183"/>
        <v>0</v>
      </c>
      <c r="N198" s="42">
        <f t="shared" si="183"/>
        <v>0</v>
      </c>
      <c r="O198" s="42">
        <f t="shared" si="183"/>
        <v>0</v>
      </c>
      <c r="P198" s="42">
        <f t="shared" si="183"/>
        <v>0</v>
      </c>
      <c r="Q198" s="42">
        <f t="shared" si="183"/>
        <v>0</v>
      </c>
      <c r="R198" s="42">
        <f t="shared" si="183"/>
        <v>0</v>
      </c>
      <c r="S198" s="111"/>
      <c r="T198" s="111"/>
      <c r="U198" s="111"/>
      <c r="V198" s="111"/>
      <c r="W198" s="111"/>
      <c r="X198" s="111"/>
      <c r="Y198" s="111"/>
    </row>
    <row r="199" ht="14.25" customHeight="1">
      <c r="B199" s="39"/>
      <c r="C199" s="109"/>
      <c r="D199" s="77" t="s">
        <v>246</v>
      </c>
      <c r="E199" s="77"/>
      <c r="F199" s="77"/>
      <c r="G199" s="77"/>
      <c r="H199" s="77"/>
      <c r="I199" s="42"/>
      <c r="J199" s="110" t="s">
        <v>98</v>
      </c>
      <c r="K199" s="42"/>
      <c r="L199" s="42"/>
      <c r="M199" s="42"/>
      <c r="N199" s="42"/>
      <c r="O199" s="42"/>
      <c r="P199" s="42"/>
      <c r="Q199" s="42"/>
      <c r="R199" s="42"/>
      <c r="S199" s="111"/>
      <c r="T199" s="111"/>
      <c r="U199" s="111"/>
      <c r="V199" s="111"/>
      <c r="W199" s="111"/>
      <c r="X199" s="111"/>
      <c r="Y199" s="111"/>
    </row>
    <row r="200" ht="14.25" customHeight="1">
      <c r="B200" s="39"/>
      <c r="C200" s="109"/>
      <c r="D200" s="77" t="s">
        <v>246</v>
      </c>
      <c r="E200" s="77"/>
      <c r="F200" s="77"/>
      <c r="G200" s="77"/>
      <c r="H200" s="77"/>
      <c r="I200" s="42"/>
      <c r="J200" s="110" t="s">
        <v>98</v>
      </c>
      <c r="K200" s="42"/>
      <c r="L200" s="42"/>
      <c r="M200" s="42"/>
      <c r="N200" s="42"/>
      <c r="O200" s="42"/>
      <c r="P200" s="42"/>
      <c r="Q200" s="42"/>
      <c r="R200" s="42"/>
      <c r="S200" s="111"/>
      <c r="T200" s="111"/>
      <c r="U200" s="111"/>
      <c r="V200" s="111"/>
      <c r="W200" s="111"/>
      <c r="X200" s="111"/>
      <c r="Y200" s="111"/>
    </row>
    <row r="201" ht="14.25" customHeight="1">
      <c r="B201" s="39"/>
      <c r="C201" s="109"/>
      <c r="D201" s="77" t="s">
        <v>246</v>
      </c>
      <c r="E201" s="77"/>
      <c r="F201" s="77"/>
      <c r="G201" s="77"/>
      <c r="H201" s="77"/>
      <c r="I201" s="42"/>
      <c r="J201" s="110" t="s">
        <v>98</v>
      </c>
      <c r="K201" s="42"/>
      <c r="L201" s="42"/>
      <c r="M201" s="42"/>
      <c r="N201" s="42"/>
      <c r="O201" s="42"/>
      <c r="P201" s="42"/>
      <c r="Q201" s="42"/>
      <c r="R201" s="42"/>
      <c r="S201" s="111"/>
      <c r="T201" s="111"/>
      <c r="U201" s="111"/>
      <c r="V201" s="111"/>
      <c r="W201" s="111"/>
      <c r="X201" s="111"/>
      <c r="Y201" s="111"/>
    </row>
    <row r="202" ht="14.25" customHeight="1">
      <c r="B202" s="39"/>
      <c r="C202" s="109"/>
      <c r="D202" s="77" t="s">
        <v>246</v>
      </c>
      <c r="E202" s="77"/>
      <c r="F202" s="77"/>
      <c r="G202" s="77"/>
      <c r="H202" s="77"/>
      <c r="I202" s="42"/>
      <c r="J202" s="110" t="s">
        <v>98</v>
      </c>
      <c r="K202" s="42"/>
      <c r="L202" s="42"/>
      <c r="M202" s="42"/>
      <c r="N202" s="42"/>
      <c r="O202" s="42"/>
      <c r="P202" s="42"/>
      <c r="Q202" s="42"/>
      <c r="R202" s="42"/>
      <c r="S202" s="111"/>
      <c r="T202" s="111"/>
      <c r="U202" s="111"/>
      <c r="V202" s="111"/>
      <c r="W202" s="111"/>
      <c r="X202" s="111"/>
      <c r="Y202" s="111"/>
    </row>
    <row r="203" ht="14.25" customHeight="1">
      <c r="B203" s="39"/>
      <c r="C203" s="109" t="s">
        <v>271</v>
      </c>
      <c r="D203" s="77"/>
      <c r="E203" s="77"/>
      <c r="F203" s="77"/>
      <c r="G203" s="77"/>
      <c r="H203" s="77"/>
      <c r="I203" s="42">
        <f>SUM(I204:I208)</f>
        <v>4504</v>
      </c>
      <c r="J203" s="110" t="s">
        <v>98</v>
      </c>
      <c r="K203" s="42">
        <f t="shared" ref="K203:Q203" si="184">SUM(K204:K208)</f>
        <v>754</v>
      </c>
      <c r="L203" s="42">
        <f t="shared" si="184"/>
        <v>1445</v>
      </c>
      <c r="M203" s="42">
        <f t="shared" si="184"/>
        <v>2419</v>
      </c>
      <c r="N203" s="42">
        <f t="shared" si="184"/>
        <v>4418</v>
      </c>
      <c r="O203" s="42">
        <f t="shared" si="184"/>
        <v>754</v>
      </c>
      <c r="P203" s="42">
        <f t="shared" si="184"/>
        <v>1484</v>
      </c>
      <c r="Q203" s="42">
        <f t="shared" si="184"/>
        <v>3629</v>
      </c>
      <c r="R203" s="42">
        <f>SUM(R204:R207)</f>
        <v>4064</v>
      </c>
      <c r="S203" s="111"/>
      <c r="T203" s="111"/>
      <c r="U203" s="111"/>
      <c r="V203" s="111"/>
      <c r="W203" s="111"/>
      <c r="X203" s="111"/>
      <c r="Y203" s="111"/>
    </row>
    <row r="204" ht="14.25" customHeight="1">
      <c r="B204" s="39"/>
      <c r="C204" s="109"/>
      <c r="D204" s="77" t="s">
        <v>272</v>
      </c>
      <c r="E204" s="77"/>
      <c r="F204" s="77"/>
      <c r="G204" s="77"/>
      <c r="H204" s="297"/>
      <c r="I204" s="42">
        <f>123+(489*4)</f>
        <v>2079</v>
      </c>
      <c r="J204" s="110" t="s">
        <v>98</v>
      </c>
      <c r="K204" s="42">
        <f>123+489</f>
        <v>612</v>
      </c>
      <c r="L204" s="42">
        <f t="shared" ref="L204:N204" si="185">489+K204</f>
        <v>1101</v>
      </c>
      <c r="M204" s="42">
        <f t="shared" si="185"/>
        <v>1590</v>
      </c>
      <c r="N204" s="42">
        <f t="shared" si="185"/>
        <v>2079</v>
      </c>
      <c r="O204" s="42">
        <v>612.0</v>
      </c>
      <c r="P204" s="42">
        <f t="shared" ref="P204:Q204" si="186">489+O204</f>
        <v>1101</v>
      </c>
      <c r="Q204" s="42">
        <f t="shared" si="186"/>
        <v>1590</v>
      </c>
      <c r="R204" s="42">
        <f>Q204+489</f>
        <v>2079</v>
      </c>
      <c r="S204" s="111"/>
      <c r="T204" s="111"/>
      <c r="U204" s="111"/>
      <c r="V204" s="111"/>
      <c r="W204" s="111"/>
      <c r="X204" s="111"/>
      <c r="Y204" s="111"/>
    </row>
    <row r="205" ht="14.25" customHeight="1">
      <c r="B205" s="39"/>
      <c r="C205" s="109"/>
      <c r="D205" s="77" t="s">
        <v>273</v>
      </c>
      <c r="E205" s="77"/>
      <c r="F205" s="77"/>
      <c r="G205" s="77"/>
      <c r="H205" s="297"/>
      <c r="I205" s="42">
        <f>275+1372</f>
        <v>1647</v>
      </c>
      <c r="J205" s="110" t="s">
        <v>98</v>
      </c>
      <c r="K205" s="42">
        <v>0.0</v>
      </c>
      <c r="L205" s="42">
        <v>0.0</v>
      </c>
      <c r="M205" s="179">
        <v>275.0</v>
      </c>
      <c r="N205" s="42">
        <f>1372+M205</f>
        <v>1647</v>
      </c>
      <c r="O205" s="42">
        <v>0.0</v>
      </c>
      <c r="P205" s="42">
        <v>0.0</v>
      </c>
      <c r="Q205" s="42">
        <f>275+1300</f>
        <v>1575</v>
      </c>
      <c r="R205" s="42">
        <f>1647</f>
        <v>1647</v>
      </c>
      <c r="S205" s="111"/>
      <c r="T205" s="111"/>
      <c r="U205" s="111"/>
      <c r="V205" s="111"/>
      <c r="W205" s="111"/>
      <c r="X205" s="111"/>
      <c r="Y205" s="111"/>
    </row>
    <row r="206" ht="14.25" customHeight="1">
      <c r="B206" s="39"/>
      <c r="C206" s="109"/>
      <c r="D206" s="77" t="s">
        <v>274</v>
      </c>
      <c r="E206" s="77"/>
      <c r="F206" s="77"/>
      <c r="G206" s="77"/>
      <c r="H206" s="297"/>
      <c r="I206" s="42">
        <f>32*12</f>
        <v>384</v>
      </c>
      <c r="J206" s="110" t="s">
        <v>98</v>
      </c>
      <c r="K206" s="42">
        <f>(26*3)+(26)</f>
        <v>104</v>
      </c>
      <c r="L206" s="42">
        <f t="shared" ref="L206:N206" si="187">(26*3)+K206</f>
        <v>182</v>
      </c>
      <c r="M206" s="42">
        <f t="shared" si="187"/>
        <v>260</v>
      </c>
      <c r="N206" s="42">
        <f t="shared" si="187"/>
        <v>338</v>
      </c>
      <c r="O206" s="42">
        <v>104.0</v>
      </c>
      <c r="P206" s="42">
        <f>35+O206</f>
        <v>139</v>
      </c>
      <c r="Q206" s="42">
        <f>P206+36</f>
        <v>175</v>
      </c>
      <c r="R206" s="42">
        <f>Q206+65</f>
        <v>240</v>
      </c>
      <c r="S206" s="111"/>
      <c r="T206" s="111"/>
      <c r="U206" s="111"/>
      <c r="V206" s="111"/>
      <c r="W206" s="111"/>
      <c r="X206" s="111"/>
      <c r="Y206" s="111"/>
    </row>
    <row r="207" ht="14.25" customHeight="1">
      <c r="B207" s="39"/>
      <c r="C207" s="109"/>
      <c r="D207" s="77" t="s">
        <v>275</v>
      </c>
      <c r="E207" s="77"/>
      <c r="F207" s="77"/>
      <c r="G207" s="77"/>
      <c r="H207" s="297"/>
      <c r="I207" s="179">
        <v>170.0</v>
      </c>
      <c r="J207" s="110" t="s">
        <v>98</v>
      </c>
      <c r="K207" s="42">
        <v>0.0</v>
      </c>
      <c r="L207" s="42">
        <v>20.0</v>
      </c>
      <c r="M207" s="42">
        <f>L207+50</f>
        <v>70</v>
      </c>
      <c r="N207" s="42">
        <f>60+M207</f>
        <v>130</v>
      </c>
      <c r="O207" s="42">
        <v>0.0</v>
      </c>
      <c r="P207" s="42">
        <v>7.0</v>
      </c>
      <c r="Q207" s="42">
        <f>P207+45</f>
        <v>52</v>
      </c>
      <c r="R207" s="42">
        <f>Q207+46</f>
        <v>98</v>
      </c>
      <c r="S207" s="111"/>
      <c r="T207" s="111"/>
      <c r="U207" s="111"/>
      <c r="V207" s="111"/>
      <c r="W207" s="111"/>
      <c r="X207" s="111"/>
      <c r="Y207" s="111"/>
    </row>
    <row r="208" ht="14.25" customHeight="1">
      <c r="B208" s="39"/>
      <c r="C208" s="109"/>
      <c r="D208" s="77" t="s">
        <v>276</v>
      </c>
      <c r="E208" s="77"/>
      <c r="F208" s="77"/>
      <c r="G208" s="77"/>
      <c r="H208" s="297"/>
      <c r="I208" s="42">
        <f>170+44+10</f>
        <v>224</v>
      </c>
      <c r="J208" s="110" t="s">
        <v>98</v>
      </c>
      <c r="K208" s="179">
        <v>38.0</v>
      </c>
      <c r="L208" s="42">
        <f>100+K208+4</f>
        <v>142</v>
      </c>
      <c r="M208" s="42">
        <f>L208+82</f>
        <v>224</v>
      </c>
      <c r="N208" s="42">
        <f>0+M208</f>
        <v>224</v>
      </c>
      <c r="O208" s="179">
        <v>38.0</v>
      </c>
      <c r="P208" s="42">
        <f>199+O208</f>
        <v>237</v>
      </c>
      <c r="Q208" s="42">
        <f>P208+0</f>
        <v>237</v>
      </c>
      <c r="R208" s="42">
        <v>237.0</v>
      </c>
      <c r="S208" s="111"/>
      <c r="T208" s="111"/>
      <c r="U208" s="111"/>
      <c r="V208" s="111"/>
      <c r="W208" s="111"/>
      <c r="X208" s="111"/>
      <c r="Y208" s="111"/>
    </row>
    <row r="209" ht="14.25" customHeight="1">
      <c r="B209" s="39"/>
      <c r="C209" s="109" t="s">
        <v>277</v>
      </c>
      <c r="D209" s="77"/>
      <c r="E209" s="77"/>
      <c r="F209" s="77"/>
      <c r="G209" s="77"/>
      <c r="H209" s="77"/>
      <c r="I209" s="42">
        <f>SUM(I210:I213)</f>
        <v>0</v>
      </c>
      <c r="J209" s="110" t="s">
        <v>98</v>
      </c>
      <c r="K209" s="42">
        <f t="shared" ref="K209:R209" si="188">SUM(K210:K213)</f>
        <v>0</v>
      </c>
      <c r="L209" s="42">
        <f t="shared" si="188"/>
        <v>0</v>
      </c>
      <c r="M209" s="42">
        <f t="shared" si="188"/>
        <v>0</v>
      </c>
      <c r="N209" s="42">
        <f t="shared" si="188"/>
        <v>0</v>
      </c>
      <c r="O209" s="42">
        <f t="shared" si="188"/>
        <v>0</v>
      </c>
      <c r="P209" s="42">
        <f t="shared" si="188"/>
        <v>0</v>
      </c>
      <c r="Q209" s="42">
        <f t="shared" si="188"/>
        <v>0</v>
      </c>
      <c r="R209" s="42">
        <f t="shared" si="188"/>
        <v>0</v>
      </c>
      <c r="S209" s="111"/>
      <c r="T209" s="111"/>
      <c r="U209" s="111"/>
      <c r="V209" s="111"/>
      <c r="W209" s="111"/>
      <c r="X209" s="111"/>
      <c r="Y209" s="111"/>
    </row>
    <row r="210" ht="14.25" customHeight="1">
      <c r="B210" s="39"/>
      <c r="C210" s="109"/>
      <c r="D210" s="77" t="s">
        <v>246</v>
      </c>
      <c r="E210" s="77"/>
      <c r="F210" s="77"/>
      <c r="G210" s="77"/>
      <c r="H210" s="77"/>
      <c r="I210" s="42"/>
      <c r="J210" s="110" t="s">
        <v>98</v>
      </c>
      <c r="K210" s="42"/>
      <c r="L210" s="42"/>
      <c r="M210" s="42"/>
      <c r="N210" s="42"/>
      <c r="O210" s="42"/>
      <c r="P210" s="42"/>
      <c r="Q210" s="42"/>
      <c r="R210" s="42"/>
      <c r="S210" s="111"/>
      <c r="T210" s="111"/>
      <c r="U210" s="111"/>
      <c r="V210" s="111"/>
      <c r="W210" s="111"/>
      <c r="X210" s="111"/>
      <c r="Y210" s="111"/>
    </row>
    <row r="211" ht="14.25" customHeight="1">
      <c r="B211" s="39"/>
      <c r="C211" s="109"/>
      <c r="D211" s="77" t="s">
        <v>246</v>
      </c>
      <c r="E211" s="77"/>
      <c r="F211" s="77"/>
      <c r="G211" s="77"/>
      <c r="H211" s="77"/>
      <c r="I211" s="42"/>
      <c r="J211" s="110" t="s">
        <v>98</v>
      </c>
      <c r="K211" s="42"/>
      <c r="L211" s="42"/>
      <c r="M211" s="42"/>
      <c r="N211" s="42"/>
      <c r="O211" s="42"/>
      <c r="P211" s="42"/>
      <c r="Q211" s="42"/>
      <c r="R211" s="42"/>
      <c r="S211" s="111"/>
      <c r="T211" s="111"/>
      <c r="U211" s="111"/>
      <c r="V211" s="111"/>
      <c r="W211" s="111"/>
      <c r="X211" s="111"/>
      <c r="Y211" s="111"/>
    </row>
    <row r="212" ht="14.25" customHeight="1">
      <c r="B212" s="39"/>
      <c r="C212" s="109"/>
      <c r="D212" s="77" t="s">
        <v>246</v>
      </c>
      <c r="E212" s="77"/>
      <c r="F212" s="77"/>
      <c r="G212" s="77"/>
      <c r="H212" s="77"/>
      <c r="I212" s="42"/>
      <c r="J212" s="110" t="s">
        <v>98</v>
      </c>
      <c r="K212" s="42"/>
      <c r="L212" s="42"/>
      <c r="M212" s="42"/>
      <c r="N212" s="42"/>
      <c r="O212" s="42"/>
      <c r="P212" s="42"/>
      <c r="Q212" s="42"/>
      <c r="R212" s="42"/>
      <c r="S212" s="111"/>
      <c r="T212" s="111"/>
      <c r="U212" s="111"/>
      <c r="V212" s="111"/>
      <c r="W212" s="111"/>
      <c r="X212" s="111"/>
      <c r="Y212" s="111"/>
    </row>
    <row r="213" ht="14.25" customHeight="1">
      <c r="B213" s="39"/>
      <c r="C213" s="109"/>
      <c r="D213" s="77" t="s">
        <v>246</v>
      </c>
      <c r="E213" s="77"/>
      <c r="F213" s="77"/>
      <c r="G213" s="77"/>
      <c r="H213" s="77"/>
      <c r="I213" s="42"/>
      <c r="J213" s="110" t="s">
        <v>98</v>
      </c>
      <c r="K213" s="42"/>
      <c r="L213" s="42"/>
      <c r="M213" s="42"/>
      <c r="N213" s="42"/>
      <c r="O213" s="42"/>
      <c r="P213" s="42"/>
      <c r="Q213" s="42"/>
      <c r="R213" s="42"/>
      <c r="S213" s="111"/>
      <c r="T213" s="111"/>
      <c r="U213" s="111"/>
      <c r="V213" s="111"/>
      <c r="W213" s="111"/>
      <c r="X213" s="111"/>
      <c r="Y213" s="111"/>
    </row>
    <row r="214" ht="14.25" customHeight="1">
      <c r="B214" s="39" t="s">
        <v>278</v>
      </c>
      <c r="C214" s="39"/>
      <c r="D214" s="77"/>
      <c r="E214" s="77"/>
      <c r="F214" s="77"/>
      <c r="G214" s="77"/>
      <c r="H214" s="77"/>
      <c r="I214" s="159"/>
      <c r="J214" s="103" t="s">
        <v>35</v>
      </c>
      <c r="K214" s="143">
        <f>K203/K203*100</f>
        <v>100</v>
      </c>
      <c r="L214" s="143">
        <f>(L203-L207)/L203*100</f>
        <v>98.61591696</v>
      </c>
      <c r="M214" s="143">
        <f>(M203+L207-M207)/M203*100</f>
        <v>97.93303018</v>
      </c>
      <c r="N214" s="143">
        <f>(N203-N207+M207)/N203*100</f>
        <v>98.64191942</v>
      </c>
      <c r="O214" s="143">
        <f t="shared" ref="O214:R214" si="189">(O203)/$N$203*100</f>
        <v>17.06654595</v>
      </c>
      <c r="P214" s="143">
        <f t="shared" si="189"/>
        <v>33.58985967</v>
      </c>
      <c r="Q214" s="143">
        <f t="shared" si="189"/>
        <v>82.14124038</v>
      </c>
      <c r="R214" s="143">
        <f t="shared" si="189"/>
        <v>91.98732458</v>
      </c>
      <c r="S214" s="46">
        <f t="shared" ref="S214:U214" si="190">IF(K214=0,0,IF((O214/K214*100)&gt;120,120,O214/K214*100))</f>
        <v>17.06654595</v>
      </c>
      <c r="T214" s="46">
        <f t="shared" si="190"/>
        <v>34.06129629</v>
      </c>
      <c r="U214" s="46">
        <f t="shared" si="190"/>
        <v>83.87490945</v>
      </c>
      <c r="V214" s="46">
        <f t="shared" ref="V214:Y214" si="191">IF($N214=0,0,IF((O214/$N214*100)&gt;120,120,O214/$N214*100))</f>
        <v>17.30151446</v>
      </c>
      <c r="W214" s="46">
        <f t="shared" si="191"/>
        <v>34.05231758</v>
      </c>
      <c r="X214" s="46">
        <f t="shared" si="191"/>
        <v>83.27214318</v>
      </c>
      <c r="Y214" s="46">
        <f t="shared" si="191"/>
        <v>93.25378614</v>
      </c>
    </row>
    <row r="215" ht="14.25" customHeight="1">
      <c r="B215" s="39"/>
      <c r="C215" s="39"/>
      <c r="D215" s="39"/>
      <c r="E215" s="39"/>
      <c r="F215" s="39"/>
      <c r="G215" s="39"/>
      <c r="H215" s="39"/>
      <c r="I215" s="39"/>
      <c r="J215" s="39"/>
      <c r="K215" s="39"/>
      <c r="L215" s="39"/>
      <c r="M215" s="39"/>
      <c r="N215" s="39"/>
      <c r="O215" s="39"/>
      <c r="P215" s="39"/>
      <c r="Q215" s="39"/>
      <c r="R215" s="39"/>
      <c r="S215" s="39"/>
      <c r="T215" s="39"/>
      <c r="U215" s="39"/>
      <c r="V215" s="39"/>
      <c r="W215" s="39"/>
      <c r="X215" s="39"/>
      <c r="Y215" s="39"/>
    </row>
    <row r="216" ht="14.25" customHeight="1">
      <c r="B216" s="282"/>
      <c r="C216" s="283"/>
      <c r="D216" s="284"/>
      <c r="E216" s="284"/>
      <c r="F216" s="284"/>
      <c r="G216" s="285" t="s">
        <v>453</v>
      </c>
      <c r="H216" s="284"/>
      <c r="I216" s="284"/>
      <c r="J216" s="284"/>
      <c r="K216" s="286"/>
      <c r="L216" s="286"/>
      <c r="M216" s="286"/>
      <c r="N216" s="286"/>
      <c r="O216" s="286"/>
      <c r="P216" s="286"/>
      <c r="Q216" s="286"/>
      <c r="R216" s="286"/>
      <c r="S216" s="287">
        <f t="shared" ref="S216:U216" si="192">IF(SUM(K188:K198,K214)&gt;0,SUM(S188:S198,S214)/SUM(COUNTIF(K188:K198,"&gt;0"),COUNTIF(K214,"&gt;0")),0)</f>
        <v>58.53327297</v>
      </c>
      <c r="T216" s="287">
        <f t="shared" si="192"/>
        <v>68.38012911</v>
      </c>
      <c r="U216" s="287">
        <f t="shared" si="192"/>
        <v>88.98029989</v>
      </c>
      <c r="V216" s="287">
        <f t="shared" ref="V216:Y216" si="193">IF(SUM($N188:$N215)&gt;0,SUM(V188:V215)/COUNTIF($N188:$N215,"&gt;0"),0)</f>
        <v>2.291204027</v>
      </c>
      <c r="W216" s="287">
        <f t="shared" si="193"/>
        <v>4.509478483</v>
      </c>
      <c r="X216" s="287">
        <f t="shared" si="193"/>
        <v>15.94826568</v>
      </c>
      <c r="Y216" s="287">
        <f t="shared" si="193"/>
        <v>20.16584375</v>
      </c>
    </row>
    <row r="217" ht="14.25" customHeight="1">
      <c r="K217" s="300"/>
      <c r="L217" s="300"/>
      <c r="M217" s="300"/>
      <c r="N217" s="300"/>
      <c r="V217" s="244">
        <f t="shared" ref="V217:W217" si="194">SUM(V189:V214)/2</f>
        <v>17.1840302</v>
      </c>
      <c r="W217" s="244">
        <f t="shared" si="194"/>
        <v>33.82108862</v>
      </c>
      <c r="X217" s="244">
        <f>SUM(X189:X214)/6</f>
        <v>39.8706642</v>
      </c>
      <c r="Y217" s="244">
        <f>SUM(Y189:Y214)/7</f>
        <v>43.21252232</v>
      </c>
    </row>
    <row r="218" ht="14.25" customHeight="1"/>
    <row r="219" ht="14.25" customHeight="1">
      <c r="B219" s="4" t="s">
        <v>280</v>
      </c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6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</row>
    <row r="220" ht="15.75" customHeight="1">
      <c r="B220" s="150" t="s">
        <v>2</v>
      </c>
      <c r="C220" s="8"/>
      <c r="D220" s="8"/>
      <c r="E220" s="8"/>
      <c r="F220" s="8"/>
      <c r="G220" s="8"/>
      <c r="H220" s="8"/>
      <c r="I220" s="273"/>
      <c r="J220" s="152" t="s">
        <v>3</v>
      </c>
      <c r="K220" s="11"/>
      <c r="L220" s="11"/>
      <c r="M220" s="11"/>
      <c r="N220" s="11"/>
      <c r="O220" s="11"/>
      <c r="P220" s="11"/>
      <c r="Q220" s="11"/>
      <c r="R220" s="12"/>
      <c r="S220" s="152" t="s">
        <v>4</v>
      </c>
      <c r="T220" s="11"/>
      <c r="U220" s="11"/>
      <c r="V220" s="11"/>
      <c r="W220" s="11"/>
      <c r="X220" s="11"/>
      <c r="Y220" s="12"/>
    </row>
    <row r="221" ht="14.25" customHeight="1">
      <c r="B221" s="13"/>
      <c r="I221" s="92"/>
      <c r="J221" s="153" t="s">
        <v>5</v>
      </c>
      <c r="K221" s="154" t="s">
        <v>62</v>
      </c>
      <c r="L221" s="17"/>
      <c r="M221" s="17"/>
      <c r="N221" s="18"/>
      <c r="O221" s="154" t="s">
        <v>63</v>
      </c>
      <c r="P221" s="17"/>
      <c r="Q221" s="17"/>
      <c r="R221" s="18"/>
      <c r="S221" s="154" t="s">
        <v>64</v>
      </c>
      <c r="T221" s="17"/>
      <c r="U221" s="18"/>
      <c r="V221" s="154" t="s">
        <v>9</v>
      </c>
      <c r="W221" s="17"/>
      <c r="X221" s="17"/>
      <c r="Y221" s="18"/>
    </row>
    <row r="222" ht="14.25" customHeight="1">
      <c r="B222" s="19"/>
      <c r="C222" s="20"/>
      <c r="D222" s="20"/>
      <c r="E222" s="20"/>
      <c r="F222" s="20"/>
      <c r="G222" s="20"/>
      <c r="H222" s="20"/>
      <c r="I222" s="21"/>
      <c r="J222" s="22"/>
      <c r="K222" s="155" t="s">
        <v>10</v>
      </c>
      <c r="L222" s="155" t="s">
        <v>11</v>
      </c>
      <c r="M222" s="155" t="s">
        <v>12</v>
      </c>
      <c r="N222" s="155" t="s">
        <v>13</v>
      </c>
      <c r="O222" s="155" t="s">
        <v>10</v>
      </c>
      <c r="P222" s="155" t="s">
        <v>11</v>
      </c>
      <c r="Q222" s="155" t="s">
        <v>12</v>
      </c>
      <c r="R222" s="155" t="s">
        <v>13</v>
      </c>
      <c r="S222" s="155" t="s">
        <v>10</v>
      </c>
      <c r="T222" s="155" t="s">
        <v>11</v>
      </c>
      <c r="U222" s="155" t="s">
        <v>12</v>
      </c>
      <c r="V222" s="155" t="s">
        <v>10</v>
      </c>
      <c r="W222" s="155" t="s">
        <v>11</v>
      </c>
      <c r="X222" s="155" t="s">
        <v>12</v>
      </c>
      <c r="Y222" s="155" t="s">
        <v>13</v>
      </c>
    </row>
    <row r="223" ht="14.25" customHeight="1">
      <c r="B223" s="157">
        <v>-1.0</v>
      </c>
      <c r="C223" s="27"/>
      <c r="D223" s="27"/>
      <c r="E223" s="27"/>
      <c r="F223" s="27"/>
      <c r="G223" s="27"/>
      <c r="H223" s="27"/>
      <c r="I223" s="274"/>
      <c r="J223" s="158">
        <v>-2.0</v>
      </c>
      <c r="K223" s="158">
        <v>-3.0</v>
      </c>
      <c r="L223" s="158">
        <v>-4.0</v>
      </c>
      <c r="M223" s="158">
        <v>-5.0</v>
      </c>
      <c r="N223" s="158">
        <v>-6.0</v>
      </c>
      <c r="O223" s="158">
        <v>-7.0</v>
      </c>
      <c r="P223" s="158">
        <v>-8.0</v>
      </c>
      <c r="Q223" s="158">
        <v>-9.0</v>
      </c>
      <c r="R223" s="158">
        <v>-10.0</v>
      </c>
      <c r="S223" s="158">
        <v>-11.0</v>
      </c>
      <c r="T223" s="158">
        <v>-12.0</v>
      </c>
      <c r="U223" s="158">
        <v>-13.0</v>
      </c>
      <c r="V223" s="158">
        <v>-14.0</v>
      </c>
      <c r="W223" s="158">
        <v>-15.0</v>
      </c>
      <c r="X223" s="158">
        <v>-16.0</v>
      </c>
      <c r="Y223" s="158">
        <v>-17.0</v>
      </c>
    </row>
    <row r="224" ht="14.25" customHeight="1">
      <c r="B224" s="35"/>
      <c r="C224" s="35"/>
      <c r="D224" s="35"/>
      <c r="E224" s="35"/>
      <c r="F224" s="35"/>
      <c r="G224" s="35"/>
      <c r="H224" s="35"/>
      <c r="I224" s="35"/>
      <c r="J224" s="35"/>
      <c r="K224" s="35"/>
      <c r="L224" s="35"/>
      <c r="M224" s="35"/>
      <c r="N224" s="35"/>
      <c r="O224" s="35"/>
      <c r="P224" s="35"/>
      <c r="Q224" s="35"/>
      <c r="R224" s="35"/>
      <c r="S224" s="35"/>
      <c r="T224" s="35"/>
      <c r="U224" s="35"/>
      <c r="V224" s="35"/>
      <c r="W224" s="35"/>
      <c r="X224" s="35"/>
      <c r="Y224" s="35"/>
    </row>
    <row r="225" ht="14.25" customHeight="1">
      <c r="B225" s="39" t="s">
        <v>281</v>
      </c>
      <c r="C225" s="39"/>
      <c r="D225" s="77"/>
      <c r="E225" s="77"/>
      <c r="F225" s="77"/>
      <c r="G225" s="77"/>
      <c r="H225" s="77"/>
      <c r="I225" s="159">
        <f t="shared" ref="I225:I232" si="198">N225</f>
        <v>3</v>
      </c>
      <c r="J225" s="103" t="s">
        <v>85</v>
      </c>
      <c r="K225" s="39">
        <f t="shared" ref="K225:R225" si="195">SUM(K226:K227)</f>
        <v>0</v>
      </c>
      <c r="L225" s="39">
        <f t="shared" si="195"/>
        <v>0</v>
      </c>
      <c r="M225" s="60">
        <f t="shared" si="195"/>
        <v>0</v>
      </c>
      <c r="N225" s="160">
        <f t="shared" si="195"/>
        <v>3</v>
      </c>
      <c r="O225" s="62">
        <f t="shared" si="195"/>
        <v>0</v>
      </c>
      <c r="P225" s="39">
        <f t="shared" si="195"/>
        <v>0</v>
      </c>
      <c r="Q225" s="39">
        <f t="shared" si="195"/>
        <v>0</v>
      </c>
      <c r="R225" s="160">
        <f t="shared" si="195"/>
        <v>3</v>
      </c>
      <c r="S225" s="46">
        <f t="shared" ref="S225:U225" si="196">IF(K225=0,0,IF((O225/K225*100)&gt;120,120,O225/K225*100))</f>
        <v>0</v>
      </c>
      <c r="T225" s="46">
        <f t="shared" si="196"/>
        <v>0</v>
      </c>
      <c r="U225" s="46">
        <f t="shared" si="196"/>
        <v>0</v>
      </c>
      <c r="V225" s="46">
        <f t="shared" ref="V225:Y225" si="197">IF($N225=0,0,IF((O225/$N225*100)&gt;120,120,O225/$N225*100))</f>
        <v>0</v>
      </c>
      <c r="W225" s="46">
        <f t="shared" si="197"/>
        <v>0</v>
      </c>
      <c r="X225" s="46">
        <f t="shared" si="197"/>
        <v>0</v>
      </c>
      <c r="Y225" s="46">
        <f t="shared" si="197"/>
        <v>100</v>
      </c>
    </row>
    <row r="226" ht="14.25" customHeight="1">
      <c r="B226" s="39"/>
      <c r="C226" s="109" t="s">
        <v>282</v>
      </c>
      <c r="D226" s="77"/>
      <c r="E226" s="77"/>
      <c r="F226" s="77"/>
      <c r="G226" s="77"/>
      <c r="H226" s="77"/>
      <c r="I226" s="159">
        <f t="shared" si="198"/>
        <v>3</v>
      </c>
      <c r="J226" s="110" t="s">
        <v>87</v>
      </c>
      <c r="K226" s="42">
        <v>0.0</v>
      </c>
      <c r="L226" s="42">
        <v>0.0</v>
      </c>
      <c r="M226" s="42">
        <v>0.0</v>
      </c>
      <c r="N226" s="42">
        <v>3.0</v>
      </c>
      <c r="O226" s="42">
        <v>0.0</v>
      </c>
      <c r="P226" s="42">
        <v>0.0</v>
      </c>
      <c r="Q226" s="42">
        <v>0.0</v>
      </c>
      <c r="R226" s="42">
        <v>3.0</v>
      </c>
      <c r="S226" s="46">
        <f t="shared" ref="S226:U226" si="199">IF(K226=0,0,IF((O226/K226*100)&gt;120,120,O226/K226*100))</f>
        <v>0</v>
      </c>
      <c r="T226" s="46">
        <f t="shared" si="199"/>
        <v>0</v>
      </c>
      <c r="U226" s="46">
        <f t="shared" si="199"/>
        <v>0</v>
      </c>
      <c r="V226" s="46">
        <f t="shared" ref="V226:Y226" si="200">IF($N226=0,0,IF((O226/$N226*100)&gt;120,120,O226/$N226*100))</f>
        <v>0</v>
      </c>
      <c r="W226" s="46">
        <f t="shared" si="200"/>
        <v>0</v>
      </c>
      <c r="X226" s="46">
        <f t="shared" si="200"/>
        <v>0</v>
      </c>
      <c r="Y226" s="46">
        <f t="shared" si="200"/>
        <v>100</v>
      </c>
    </row>
    <row r="227" ht="14.25" customHeight="1">
      <c r="B227" s="39"/>
      <c r="C227" s="109" t="s">
        <v>283</v>
      </c>
      <c r="D227" s="77"/>
      <c r="E227" s="77"/>
      <c r="F227" s="77"/>
      <c r="G227" s="77"/>
      <c r="H227" s="77"/>
      <c r="I227" s="159">
        <f t="shared" si="198"/>
        <v>0</v>
      </c>
      <c r="J227" s="110" t="s">
        <v>66</v>
      </c>
      <c r="K227" s="42">
        <v>0.0</v>
      </c>
      <c r="L227" s="42">
        <v>0.0</v>
      </c>
      <c r="M227" s="42">
        <v>0.0</v>
      </c>
      <c r="N227" s="42">
        <v>0.0</v>
      </c>
      <c r="O227" s="42">
        <v>0.0</v>
      </c>
      <c r="P227" s="42">
        <v>0.0</v>
      </c>
      <c r="Q227" s="42">
        <v>0.0</v>
      </c>
      <c r="R227" s="42">
        <v>0.0</v>
      </c>
      <c r="S227" s="46">
        <f t="shared" ref="S227:U227" si="201">IF(K227=0,0,IF((O227/K227*100)&gt;120,120,O227/K227*100))</f>
        <v>0</v>
      </c>
      <c r="T227" s="46">
        <f t="shared" si="201"/>
        <v>0</v>
      </c>
      <c r="U227" s="46">
        <f t="shared" si="201"/>
        <v>0</v>
      </c>
      <c r="V227" s="46">
        <f t="shared" ref="V227:Y227" si="202">IF($N227=0,0,IF((O227/$N227*100)&gt;120,120,O227/$N227*100))</f>
        <v>0</v>
      </c>
      <c r="W227" s="46">
        <f t="shared" si="202"/>
        <v>0</v>
      </c>
      <c r="X227" s="46">
        <f t="shared" si="202"/>
        <v>0</v>
      </c>
      <c r="Y227" s="46">
        <f t="shared" si="202"/>
        <v>0</v>
      </c>
    </row>
    <row r="228" ht="14.25" customHeight="1">
      <c r="B228" s="39" t="s">
        <v>284</v>
      </c>
      <c r="C228" s="39"/>
      <c r="D228" s="77"/>
      <c r="E228" s="77"/>
      <c r="F228" s="77"/>
      <c r="G228" s="77"/>
      <c r="H228" s="77"/>
      <c r="I228" s="159">
        <f t="shared" si="198"/>
        <v>3</v>
      </c>
      <c r="J228" s="103" t="s">
        <v>85</v>
      </c>
      <c r="K228" s="39">
        <f t="shared" ref="K228:Q228" si="203">SUM(K229:K230)</f>
        <v>0</v>
      </c>
      <c r="L228" s="39">
        <f t="shared" si="203"/>
        <v>0</v>
      </c>
      <c r="M228" s="60">
        <f t="shared" si="203"/>
        <v>0</v>
      </c>
      <c r="N228" s="160">
        <f t="shared" si="203"/>
        <v>3</v>
      </c>
      <c r="O228" s="62">
        <f t="shared" si="203"/>
        <v>0</v>
      </c>
      <c r="P228" s="39">
        <f t="shared" si="203"/>
        <v>0</v>
      </c>
      <c r="Q228" s="39">
        <f t="shared" si="203"/>
        <v>0</v>
      </c>
      <c r="R228" s="39">
        <v>3.0</v>
      </c>
      <c r="S228" s="46">
        <f t="shared" ref="S228:U228" si="204">IF(K228=0,0,IF((O228/K228*100)&gt;120,120,O228/K228*100))</f>
        <v>0</v>
      </c>
      <c r="T228" s="46">
        <f t="shared" si="204"/>
        <v>0</v>
      </c>
      <c r="U228" s="46">
        <f t="shared" si="204"/>
        <v>0</v>
      </c>
      <c r="V228" s="46">
        <f t="shared" ref="V228:Y228" si="205">IF($N228=0,0,IF((O228/$N228*100)&gt;120,120,O228/$N228*100))</f>
        <v>0</v>
      </c>
      <c r="W228" s="46">
        <f t="shared" si="205"/>
        <v>0</v>
      </c>
      <c r="X228" s="46">
        <f t="shared" si="205"/>
        <v>0</v>
      </c>
      <c r="Y228" s="46">
        <f t="shared" si="205"/>
        <v>100</v>
      </c>
    </row>
    <row r="229" ht="14.25" customHeight="1">
      <c r="B229" s="39"/>
      <c r="C229" s="109" t="s">
        <v>285</v>
      </c>
      <c r="D229" s="77"/>
      <c r="E229" s="77"/>
      <c r="F229" s="77"/>
      <c r="G229" s="77"/>
      <c r="H229" s="77"/>
      <c r="I229" s="159">
        <f t="shared" si="198"/>
        <v>3</v>
      </c>
      <c r="J229" s="110" t="s">
        <v>87</v>
      </c>
      <c r="K229" s="42">
        <v>0.0</v>
      </c>
      <c r="L229" s="42">
        <v>0.0</v>
      </c>
      <c r="M229" s="42">
        <v>0.0</v>
      </c>
      <c r="N229" s="42">
        <v>3.0</v>
      </c>
      <c r="O229" s="42">
        <v>0.0</v>
      </c>
      <c r="P229" s="42">
        <v>0.0</v>
      </c>
      <c r="Q229" s="42">
        <v>0.0</v>
      </c>
      <c r="R229" s="42">
        <v>0.0</v>
      </c>
      <c r="S229" s="46">
        <f t="shared" ref="S229:U229" si="206">IF(K229=0,0,IF((O229/K229*100)&gt;120,120,O229/K229*100))</f>
        <v>0</v>
      </c>
      <c r="T229" s="46">
        <f t="shared" si="206"/>
        <v>0</v>
      </c>
      <c r="U229" s="46">
        <f t="shared" si="206"/>
        <v>0</v>
      </c>
      <c r="V229" s="46">
        <f t="shared" ref="V229:Y229" si="207">IF($N229=0,0,IF((O229/$N229*100)&gt;120,120,O229/$N229*100))</f>
        <v>0</v>
      </c>
      <c r="W229" s="46">
        <f t="shared" si="207"/>
        <v>0</v>
      </c>
      <c r="X229" s="46">
        <f t="shared" si="207"/>
        <v>0</v>
      </c>
      <c r="Y229" s="46">
        <f t="shared" si="207"/>
        <v>0</v>
      </c>
    </row>
    <row r="230" ht="14.25" customHeight="1">
      <c r="B230" s="39"/>
      <c r="C230" s="109" t="s">
        <v>286</v>
      </c>
      <c r="D230" s="77"/>
      <c r="E230" s="77"/>
      <c r="F230" s="77"/>
      <c r="G230" s="77"/>
      <c r="H230" s="77"/>
      <c r="I230" s="159">
        <f t="shared" si="198"/>
        <v>0</v>
      </c>
      <c r="J230" s="110" t="s">
        <v>66</v>
      </c>
      <c r="K230" s="42">
        <v>0.0</v>
      </c>
      <c r="L230" s="42">
        <v>0.0</v>
      </c>
      <c r="M230" s="42">
        <v>0.0</v>
      </c>
      <c r="N230" s="42">
        <v>0.0</v>
      </c>
      <c r="O230" s="42">
        <v>0.0</v>
      </c>
      <c r="P230" s="42">
        <v>0.0</v>
      </c>
      <c r="Q230" s="42">
        <v>0.0</v>
      </c>
      <c r="R230" s="42">
        <v>0.0</v>
      </c>
      <c r="S230" s="46">
        <f t="shared" ref="S230:U230" si="208">IF(K230=0,0,IF((O230/K230*100)&gt;120,120,O230/K230*100))</f>
        <v>0</v>
      </c>
      <c r="T230" s="46">
        <f t="shared" si="208"/>
        <v>0</v>
      </c>
      <c r="U230" s="46">
        <f t="shared" si="208"/>
        <v>0</v>
      </c>
      <c r="V230" s="46">
        <f t="shared" ref="V230:Y230" si="209">IF($N230=0,0,IF((O230/$N230*100)&gt;120,120,O230/$N230*100))</f>
        <v>0</v>
      </c>
      <c r="W230" s="46">
        <f t="shared" si="209"/>
        <v>0</v>
      </c>
      <c r="X230" s="46">
        <f t="shared" si="209"/>
        <v>0</v>
      </c>
      <c r="Y230" s="46">
        <f t="shared" si="209"/>
        <v>0</v>
      </c>
    </row>
    <row r="231" ht="14.25" customHeight="1">
      <c r="B231" s="39" t="s">
        <v>287</v>
      </c>
      <c r="C231" s="39"/>
      <c r="D231" s="77"/>
      <c r="E231" s="77"/>
      <c r="F231" s="77"/>
      <c r="G231" s="77"/>
      <c r="H231" s="77"/>
      <c r="I231" s="159">
        <f t="shared" si="198"/>
        <v>0</v>
      </c>
      <c r="J231" s="103" t="s">
        <v>87</v>
      </c>
      <c r="K231" s="42">
        <v>0.0</v>
      </c>
      <c r="L231" s="42">
        <v>0.0</v>
      </c>
      <c r="M231" s="42">
        <v>0.0</v>
      </c>
      <c r="N231" s="42">
        <v>0.0</v>
      </c>
      <c r="O231" s="42">
        <v>0.0</v>
      </c>
      <c r="P231" s="42"/>
      <c r="Q231" s="42"/>
      <c r="R231" s="42"/>
      <c r="S231" s="46">
        <f t="shared" ref="S231:U231" si="210">IF(K231=0,0,IF((O231/K231*100)&gt;120,120,O231/K231*100))</f>
        <v>0</v>
      </c>
      <c r="T231" s="46">
        <f t="shared" si="210"/>
        <v>0</v>
      </c>
      <c r="U231" s="46">
        <f t="shared" si="210"/>
        <v>0</v>
      </c>
      <c r="V231" s="46">
        <f t="shared" ref="V231:Y231" si="211">IF($N231=0,0,IF((O231/$N231*100)&gt;120,120,O231/$N231*100))</f>
        <v>0</v>
      </c>
      <c r="W231" s="46">
        <f t="shared" si="211"/>
        <v>0</v>
      </c>
      <c r="X231" s="46">
        <f t="shared" si="211"/>
        <v>0</v>
      </c>
      <c r="Y231" s="46">
        <f t="shared" si="211"/>
        <v>0</v>
      </c>
    </row>
    <row r="232" ht="14.25" customHeight="1">
      <c r="B232" s="39" t="s">
        <v>288</v>
      </c>
      <c r="C232" s="39"/>
      <c r="D232" s="77"/>
      <c r="E232" s="77"/>
      <c r="F232" s="77"/>
      <c r="G232" s="77"/>
      <c r="H232" s="77"/>
      <c r="I232" s="159">
        <f t="shared" si="198"/>
        <v>0</v>
      </c>
      <c r="J232" s="103" t="s">
        <v>95</v>
      </c>
      <c r="K232" s="42">
        <v>0.0</v>
      </c>
      <c r="L232" s="42">
        <v>0.0</v>
      </c>
      <c r="M232" s="42">
        <v>0.0</v>
      </c>
      <c r="N232" s="42">
        <v>0.0</v>
      </c>
      <c r="O232" s="42">
        <v>0.0</v>
      </c>
      <c r="P232" s="42">
        <v>0.0</v>
      </c>
      <c r="Q232" s="42">
        <v>0.0</v>
      </c>
      <c r="R232" s="42">
        <v>0.0</v>
      </c>
      <c r="S232" s="46">
        <f t="shared" ref="S232:U232" si="212">IF(K232=0,0,IF((O232/K232*100)&gt;120,120,O232/K232*100))</f>
        <v>0</v>
      </c>
      <c r="T232" s="46">
        <f t="shared" si="212"/>
        <v>0</v>
      </c>
      <c r="U232" s="46">
        <f t="shared" si="212"/>
        <v>0</v>
      </c>
      <c r="V232" s="46">
        <f t="shared" ref="V232:Y232" si="213">IF($N232=0,0,IF((O232/$N232*100)&gt;120,120,O232/$N232*100))</f>
        <v>0</v>
      </c>
      <c r="W232" s="46">
        <f t="shared" si="213"/>
        <v>0</v>
      </c>
      <c r="X232" s="46">
        <f t="shared" si="213"/>
        <v>0</v>
      </c>
      <c r="Y232" s="46">
        <f t="shared" si="213"/>
        <v>0</v>
      </c>
    </row>
    <row r="233" ht="14.25" customHeight="1">
      <c r="B233" s="39" t="s">
        <v>289</v>
      </c>
      <c r="C233" s="39"/>
      <c r="D233" s="77"/>
      <c r="E233" s="77"/>
      <c r="F233" s="77"/>
      <c r="G233" s="77"/>
      <c r="H233" s="77"/>
      <c r="I233" s="159"/>
      <c r="J233" s="103" t="s">
        <v>35</v>
      </c>
      <c r="K233" s="254">
        <f t="shared" ref="K233:N233" si="214">IF($I234+$I239=0,0,AVERAGE(IF($I234&gt;0,K234/$I234*100,0),IF($I239&gt;0,K239/$I239*100,0)))</f>
        <v>6.797385621</v>
      </c>
      <c r="L233" s="254">
        <f t="shared" si="214"/>
        <v>35.49019608</v>
      </c>
      <c r="M233" s="254">
        <f t="shared" si="214"/>
        <v>60.58823529</v>
      </c>
      <c r="N233" s="254">
        <f t="shared" si="214"/>
        <v>90.81699346</v>
      </c>
      <c r="O233" s="338">
        <f t="shared" ref="O233:Q233" si="215">IF($I234+$I239+$I244=0,0,AVERAGE(IF($I234&gt;0,O234/$I234*100,0),IF($I239&gt;0,O239/$I239*100,0),IF($I244&gt;0,O244/$I244*100,0)))</f>
        <v>1.525054466</v>
      </c>
      <c r="P233" s="338">
        <f t="shared" si="215"/>
        <v>38.39869281</v>
      </c>
      <c r="Q233" s="338">
        <f t="shared" si="215"/>
        <v>56.79738562</v>
      </c>
      <c r="R233" s="338">
        <v>95.23</v>
      </c>
      <c r="S233" s="46">
        <f t="shared" ref="S233:U233" si="216">IF(K233=0,0,IF((O233/K233*100)&gt;120,120,O233/K233*100))</f>
        <v>22.43589744</v>
      </c>
      <c r="T233" s="46">
        <f t="shared" si="216"/>
        <v>108.1952118</v>
      </c>
      <c r="U233" s="46">
        <f t="shared" si="216"/>
        <v>93.74325782</v>
      </c>
      <c r="V233" s="46">
        <f t="shared" ref="V233:Y233" si="217">IF($N233=0,0,IF((O233/$N233*100)&gt;120,120,O233/$N233*100))</f>
        <v>1.679261125</v>
      </c>
      <c r="W233" s="46">
        <f t="shared" si="217"/>
        <v>42.28139619</v>
      </c>
      <c r="X233" s="46">
        <f t="shared" si="217"/>
        <v>62.54048219</v>
      </c>
      <c r="Y233" s="46">
        <f t="shared" si="217"/>
        <v>104.8592299</v>
      </c>
    </row>
    <row r="234" ht="14.25" customHeight="1">
      <c r="B234" s="39"/>
      <c r="C234" s="109" t="s">
        <v>290</v>
      </c>
      <c r="D234" s="77"/>
      <c r="E234" s="77"/>
      <c r="F234" s="77"/>
      <c r="G234" s="77"/>
      <c r="H234" s="77"/>
      <c r="I234" s="42">
        <f>SUM(I235:I238)</f>
        <v>68</v>
      </c>
      <c r="J234" s="110" t="s">
        <v>98</v>
      </c>
      <c r="K234" s="42">
        <v>0.0</v>
      </c>
      <c r="L234" s="42">
        <v>22.0</v>
      </c>
      <c r="M234" s="42">
        <v>46.0</v>
      </c>
      <c r="N234" s="42">
        <f t="shared" ref="N234:O234" si="218">SUM(N235:N238)</f>
        <v>68</v>
      </c>
      <c r="O234" s="42">
        <f t="shared" si="218"/>
        <v>0</v>
      </c>
      <c r="P234" s="42">
        <v>59.0</v>
      </c>
      <c r="Q234" s="42">
        <v>68.0</v>
      </c>
      <c r="R234" s="42">
        <v>68.0</v>
      </c>
      <c r="S234" s="111"/>
      <c r="T234" s="111"/>
      <c r="U234" s="111"/>
      <c r="V234" s="111"/>
      <c r="W234" s="111"/>
      <c r="X234" s="111"/>
      <c r="Y234" s="111"/>
    </row>
    <row r="235" ht="14.25" customHeight="1">
      <c r="B235" s="39"/>
      <c r="C235" s="109"/>
      <c r="D235" s="309" t="s">
        <v>291</v>
      </c>
      <c r="E235" s="77"/>
      <c r="F235" s="77"/>
      <c r="G235" s="77"/>
      <c r="H235" s="77"/>
      <c r="I235" s="310">
        <v>68.0</v>
      </c>
      <c r="J235" s="311" t="s">
        <v>98</v>
      </c>
      <c r="K235" s="310">
        <v>0.0</v>
      </c>
      <c r="L235" s="310">
        <v>22.0</v>
      </c>
      <c r="M235" s="310">
        <v>46.0</v>
      </c>
      <c r="N235" s="310">
        <v>68.0</v>
      </c>
      <c r="O235" s="310">
        <v>0.0</v>
      </c>
      <c r="P235" s="310">
        <v>59.0</v>
      </c>
      <c r="Q235" s="310">
        <v>68.0</v>
      </c>
      <c r="R235" s="310">
        <v>68.0</v>
      </c>
      <c r="S235" s="111"/>
      <c r="T235" s="111"/>
      <c r="U235" s="111"/>
      <c r="V235" s="111"/>
      <c r="W235" s="111"/>
      <c r="X235" s="111"/>
      <c r="Y235" s="111"/>
    </row>
    <row r="236" ht="14.25" customHeight="1">
      <c r="B236" s="39"/>
      <c r="C236" s="109"/>
      <c r="D236" s="77" t="s">
        <v>246</v>
      </c>
      <c r="E236" s="77"/>
      <c r="F236" s="77"/>
      <c r="G236" s="77"/>
      <c r="H236" s="77"/>
      <c r="I236" s="42"/>
      <c r="J236" s="110" t="s">
        <v>98</v>
      </c>
      <c r="K236" s="42"/>
      <c r="L236" s="42"/>
      <c r="M236" s="42"/>
      <c r="N236" s="42"/>
      <c r="O236" s="42"/>
      <c r="P236" s="42"/>
      <c r="Q236" s="42"/>
      <c r="R236" s="42"/>
      <c r="S236" s="111"/>
      <c r="T236" s="111"/>
      <c r="U236" s="111"/>
      <c r="V236" s="111"/>
      <c r="W236" s="111"/>
      <c r="X236" s="111"/>
      <c r="Y236" s="111"/>
    </row>
    <row r="237" ht="14.25" customHeight="1">
      <c r="B237" s="39"/>
      <c r="C237" s="109"/>
      <c r="D237" s="77" t="s">
        <v>246</v>
      </c>
      <c r="E237" s="77"/>
      <c r="F237" s="77"/>
      <c r="G237" s="77"/>
      <c r="H237" s="77"/>
      <c r="I237" s="42"/>
      <c r="J237" s="110" t="s">
        <v>98</v>
      </c>
      <c r="K237" s="42"/>
      <c r="L237" s="42"/>
      <c r="M237" s="42"/>
      <c r="N237" s="42"/>
      <c r="O237" s="42"/>
      <c r="P237" s="42"/>
      <c r="Q237" s="42"/>
      <c r="R237" s="42"/>
      <c r="S237" s="111"/>
      <c r="T237" s="111"/>
      <c r="U237" s="111"/>
      <c r="V237" s="111"/>
      <c r="W237" s="111"/>
      <c r="X237" s="111"/>
      <c r="Y237" s="111"/>
    </row>
    <row r="238" ht="14.25" customHeight="1">
      <c r="B238" s="39"/>
      <c r="C238" s="109"/>
      <c r="D238" s="77" t="s">
        <v>246</v>
      </c>
      <c r="E238" s="77"/>
      <c r="F238" s="77"/>
      <c r="G238" s="77"/>
      <c r="H238" s="77"/>
      <c r="I238" s="42"/>
      <c r="J238" s="110" t="s">
        <v>98</v>
      </c>
      <c r="K238" s="42"/>
      <c r="L238" s="42"/>
      <c r="M238" s="42"/>
      <c r="N238" s="42"/>
      <c r="O238" s="42"/>
      <c r="P238" s="42"/>
      <c r="Q238" s="42"/>
      <c r="R238" s="42"/>
      <c r="S238" s="111"/>
      <c r="T238" s="111"/>
      <c r="U238" s="111"/>
      <c r="V238" s="111"/>
      <c r="W238" s="111"/>
      <c r="X238" s="111"/>
      <c r="Y238" s="111"/>
    </row>
    <row r="239" ht="14.25" customHeight="1">
      <c r="B239" s="39"/>
      <c r="C239" s="109" t="s">
        <v>292</v>
      </c>
      <c r="D239" s="77"/>
      <c r="E239" s="77"/>
      <c r="F239" s="77"/>
      <c r="G239" s="77"/>
      <c r="H239" s="77"/>
      <c r="I239" s="42">
        <f>SUM(I240:I243)</f>
        <v>1530</v>
      </c>
      <c r="J239" s="110" t="s">
        <v>98</v>
      </c>
      <c r="K239" s="42">
        <f t="shared" ref="K239:M239" si="219">SUM(K240:K243)</f>
        <v>208</v>
      </c>
      <c r="L239" s="42">
        <f t="shared" si="219"/>
        <v>591</v>
      </c>
      <c r="M239" s="42">
        <f t="shared" si="219"/>
        <v>819</v>
      </c>
      <c r="N239" s="42">
        <v>1249.0</v>
      </c>
      <c r="O239" s="42">
        <f t="shared" ref="O239:R239" si="220">SUM(O240:O243)</f>
        <v>70</v>
      </c>
      <c r="P239" s="42">
        <f t="shared" si="220"/>
        <v>435</v>
      </c>
      <c r="Q239" s="42">
        <f t="shared" si="220"/>
        <v>1077</v>
      </c>
      <c r="R239" s="42">
        <f t="shared" si="220"/>
        <v>1463</v>
      </c>
      <c r="S239" s="111"/>
      <c r="T239" s="111"/>
      <c r="U239" s="111"/>
      <c r="V239" s="111"/>
      <c r="W239" s="111"/>
      <c r="X239" s="111"/>
      <c r="Y239" s="111"/>
    </row>
    <row r="240" ht="14.25" customHeight="1">
      <c r="B240" s="39"/>
      <c r="C240" s="109"/>
      <c r="D240" s="309" t="s">
        <v>454</v>
      </c>
      <c r="E240" s="77"/>
      <c r="F240" s="77"/>
      <c r="G240" s="77"/>
      <c r="H240" s="77"/>
      <c r="I240" s="310">
        <v>1069.0</v>
      </c>
      <c r="J240" s="311" t="s">
        <v>98</v>
      </c>
      <c r="K240" s="310">
        <v>110.0</v>
      </c>
      <c r="L240" s="310">
        <v>395.0</v>
      </c>
      <c r="M240" s="310">
        <v>564.0</v>
      </c>
      <c r="N240" s="310">
        <v>908.0</v>
      </c>
      <c r="O240" s="310">
        <v>55.0</v>
      </c>
      <c r="P240" s="42">
        <v>307.0</v>
      </c>
      <c r="Q240" s="310">
        <v>739.0</v>
      </c>
      <c r="R240" s="310">
        <v>1028.0</v>
      </c>
      <c r="S240" s="111"/>
      <c r="T240" s="111"/>
      <c r="U240" s="111"/>
      <c r="V240" s="111"/>
      <c r="W240" s="111"/>
      <c r="X240" s="111"/>
      <c r="Y240" s="111"/>
    </row>
    <row r="241" ht="14.25" customHeight="1">
      <c r="B241" s="39"/>
      <c r="C241" s="109"/>
      <c r="D241" s="309" t="s">
        <v>296</v>
      </c>
      <c r="E241" s="77"/>
      <c r="F241" s="77"/>
      <c r="G241" s="77"/>
      <c r="H241" s="77"/>
      <c r="I241" s="310">
        <v>461.0</v>
      </c>
      <c r="J241" s="311" t="s">
        <v>98</v>
      </c>
      <c r="K241" s="310">
        <v>98.0</v>
      </c>
      <c r="L241" s="310">
        <v>196.0</v>
      </c>
      <c r="M241" s="310">
        <v>255.0</v>
      </c>
      <c r="N241" s="310">
        <v>341.0</v>
      </c>
      <c r="O241" s="310">
        <v>15.0</v>
      </c>
      <c r="P241" s="310">
        <v>128.0</v>
      </c>
      <c r="Q241" s="310">
        <v>338.0</v>
      </c>
      <c r="R241" s="310">
        <v>435.0</v>
      </c>
      <c r="S241" s="111"/>
      <c r="T241" s="111"/>
      <c r="U241" s="111"/>
      <c r="V241" s="111"/>
      <c r="W241" s="111"/>
      <c r="X241" s="111"/>
      <c r="Y241" s="111"/>
    </row>
    <row r="242" ht="14.25" customHeight="1">
      <c r="B242" s="39"/>
      <c r="C242" s="109"/>
      <c r="D242" s="77" t="s">
        <v>246</v>
      </c>
      <c r="E242" s="77"/>
      <c r="F242" s="77"/>
      <c r="G242" s="77"/>
      <c r="H242" s="77"/>
      <c r="I242" s="42"/>
      <c r="J242" s="110" t="s">
        <v>98</v>
      </c>
      <c r="K242" s="42"/>
      <c r="L242" s="42"/>
      <c r="M242" s="42"/>
      <c r="N242" s="42"/>
      <c r="O242" s="42"/>
      <c r="P242" s="42"/>
      <c r="Q242" s="42"/>
      <c r="R242" s="42"/>
      <c r="S242" s="111"/>
      <c r="T242" s="111"/>
      <c r="U242" s="111"/>
      <c r="V242" s="111"/>
      <c r="W242" s="111"/>
      <c r="X242" s="111"/>
      <c r="Y242" s="111"/>
    </row>
    <row r="243" ht="14.25" customHeight="1">
      <c r="B243" s="39"/>
      <c r="C243" s="109"/>
      <c r="D243" s="77" t="s">
        <v>246</v>
      </c>
      <c r="E243" s="77"/>
      <c r="F243" s="77"/>
      <c r="G243" s="77"/>
      <c r="H243" s="77"/>
      <c r="I243" s="42"/>
      <c r="J243" s="110" t="s">
        <v>98</v>
      </c>
      <c r="K243" s="42"/>
      <c r="L243" s="42"/>
      <c r="M243" s="42"/>
      <c r="N243" s="42"/>
      <c r="O243" s="42"/>
      <c r="P243" s="42"/>
      <c r="Q243" s="42"/>
      <c r="R243" s="42"/>
      <c r="S243" s="111"/>
      <c r="T243" s="111"/>
      <c r="U243" s="111"/>
      <c r="V243" s="111"/>
      <c r="W243" s="111"/>
      <c r="X243" s="111"/>
      <c r="Y243" s="111"/>
    </row>
    <row r="244" ht="14.25" customHeight="1">
      <c r="B244" s="39"/>
      <c r="C244" s="109" t="s">
        <v>297</v>
      </c>
      <c r="D244" s="77"/>
      <c r="E244" s="77"/>
      <c r="F244" s="77"/>
      <c r="G244" s="77"/>
      <c r="H244" s="77"/>
      <c r="I244" s="42">
        <f>SUM(I245:I248)</f>
        <v>0</v>
      </c>
      <c r="J244" s="110" t="s">
        <v>98</v>
      </c>
      <c r="K244" s="42">
        <f t="shared" ref="K244:R244" si="221">SUM(K245:K248)</f>
        <v>0</v>
      </c>
      <c r="L244" s="42">
        <f t="shared" si="221"/>
        <v>0</v>
      </c>
      <c r="M244" s="42">
        <f t="shared" si="221"/>
        <v>0</v>
      </c>
      <c r="N244" s="42">
        <f t="shared" si="221"/>
        <v>0</v>
      </c>
      <c r="O244" s="42">
        <f t="shared" si="221"/>
        <v>0</v>
      </c>
      <c r="P244" s="42">
        <f t="shared" si="221"/>
        <v>0</v>
      </c>
      <c r="Q244" s="42">
        <f t="shared" si="221"/>
        <v>0</v>
      </c>
      <c r="R244" s="42">
        <f t="shared" si="221"/>
        <v>0</v>
      </c>
      <c r="S244" s="111"/>
      <c r="T244" s="111"/>
      <c r="U244" s="111"/>
      <c r="V244" s="111"/>
      <c r="W244" s="111"/>
      <c r="X244" s="111"/>
      <c r="Y244" s="111"/>
    </row>
    <row r="245" ht="14.25" customHeight="1">
      <c r="B245" s="39"/>
      <c r="C245" s="109"/>
      <c r="D245" s="77" t="s">
        <v>246</v>
      </c>
      <c r="E245" s="77"/>
      <c r="F245" s="77"/>
      <c r="G245" s="77"/>
      <c r="H245" s="77"/>
      <c r="I245" s="42"/>
      <c r="J245" s="110" t="s">
        <v>98</v>
      </c>
      <c r="K245" s="42"/>
      <c r="L245" s="42"/>
      <c r="M245" s="42"/>
      <c r="N245" s="42"/>
      <c r="O245" s="42"/>
      <c r="P245" s="42"/>
      <c r="Q245" s="42"/>
      <c r="R245" s="42"/>
      <c r="S245" s="111"/>
      <c r="T245" s="111"/>
      <c r="U245" s="111"/>
      <c r="V245" s="111"/>
      <c r="W245" s="111"/>
      <c r="X245" s="111"/>
      <c r="Y245" s="111"/>
    </row>
    <row r="246" ht="14.25" customHeight="1">
      <c r="B246" s="39"/>
      <c r="C246" s="109"/>
      <c r="D246" s="77" t="s">
        <v>246</v>
      </c>
      <c r="E246" s="77"/>
      <c r="F246" s="77"/>
      <c r="G246" s="77"/>
      <c r="H246" s="77"/>
      <c r="I246" s="42"/>
      <c r="J246" s="110" t="s">
        <v>98</v>
      </c>
      <c r="K246" s="42"/>
      <c r="L246" s="42"/>
      <c r="M246" s="42"/>
      <c r="N246" s="42"/>
      <c r="O246" s="42"/>
      <c r="P246" s="42"/>
      <c r="Q246" s="42"/>
      <c r="R246" s="42"/>
      <c r="S246" s="111"/>
      <c r="T246" s="111"/>
      <c r="U246" s="111"/>
      <c r="V246" s="111"/>
      <c r="W246" s="111"/>
      <c r="X246" s="111"/>
      <c r="Y246" s="111"/>
    </row>
    <row r="247" ht="14.25" customHeight="1">
      <c r="B247" s="39"/>
      <c r="C247" s="109"/>
      <c r="D247" s="77" t="s">
        <v>246</v>
      </c>
      <c r="E247" s="77"/>
      <c r="F247" s="77"/>
      <c r="G247" s="77"/>
      <c r="H247" s="77"/>
      <c r="I247" s="42"/>
      <c r="J247" s="110" t="s">
        <v>98</v>
      </c>
      <c r="K247" s="42"/>
      <c r="L247" s="42"/>
      <c r="M247" s="42"/>
      <c r="N247" s="42"/>
      <c r="O247" s="42"/>
      <c r="P247" s="42"/>
      <c r="Q247" s="42"/>
      <c r="R247" s="42"/>
      <c r="S247" s="111"/>
      <c r="T247" s="111"/>
      <c r="U247" s="111"/>
      <c r="V247" s="111"/>
      <c r="W247" s="111"/>
      <c r="X247" s="111"/>
      <c r="Y247" s="111"/>
    </row>
    <row r="248" ht="14.25" customHeight="1">
      <c r="B248" s="39"/>
      <c r="C248" s="109"/>
      <c r="D248" s="77" t="s">
        <v>246</v>
      </c>
      <c r="E248" s="77"/>
      <c r="F248" s="77"/>
      <c r="G248" s="77"/>
      <c r="H248" s="77"/>
      <c r="I248" s="42"/>
      <c r="J248" s="110" t="s">
        <v>98</v>
      </c>
      <c r="K248" s="42"/>
      <c r="L248" s="42"/>
      <c r="M248" s="42"/>
      <c r="N248" s="42"/>
      <c r="O248" s="42"/>
      <c r="P248" s="42"/>
      <c r="Q248" s="42"/>
      <c r="R248" s="42"/>
      <c r="S248" s="111"/>
      <c r="T248" s="111"/>
      <c r="U248" s="111"/>
      <c r="V248" s="111"/>
      <c r="W248" s="111"/>
      <c r="X248" s="111"/>
      <c r="Y248" s="111"/>
    </row>
    <row r="249" ht="14.25" customHeight="1">
      <c r="B249" s="39" t="s">
        <v>298</v>
      </c>
      <c r="C249" s="39"/>
      <c r="D249" s="77"/>
      <c r="E249" s="77"/>
      <c r="F249" s="77"/>
      <c r="G249" s="77"/>
      <c r="H249" s="77"/>
      <c r="I249" s="159"/>
      <c r="J249" s="103" t="s">
        <v>35</v>
      </c>
      <c r="K249" s="42">
        <v>37.25</v>
      </c>
      <c r="L249" s="42">
        <v>45.12</v>
      </c>
      <c r="M249" s="141">
        <v>70.35</v>
      </c>
      <c r="N249" s="42">
        <v>95.23</v>
      </c>
      <c r="O249" s="42">
        <v>20.15</v>
      </c>
      <c r="P249" s="42">
        <v>37.45</v>
      </c>
      <c r="Q249" s="42">
        <v>86.23</v>
      </c>
      <c r="R249" s="42">
        <v>95.23</v>
      </c>
      <c r="S249" s="46">
        <f t="shared" ref="S249:T249" si="222">IF(K249=0,0,IF((O249/K249*100)&gt;120,120,O249/K249*100))</f>
        <v>54.09395973</v>
      </c>
      <c r="T249" s="46">
        <f t="shared" si="222"/>
        <v>83.00088652</v>
      </c>
      <c r="U249" s="46">
        <v>85.23</v>
      </c>
      <c r="V249" s="46">
        <f t="shared" ref="V249:Y249" si="223">IF($N249=0,0,IF((O249/$N249*100)&gt;120,120,O249/$N249*100))</f>
        <v>21.15929854</v>
      </c>
      <c r="W249" s="46">
        <f t="shared" si="223"/>
        <v>39.3258427</v>
      </c>
      <c r="X249" s="46">
        <f t="shared" si="223"/>
        <v>90.54919668</v>
      </c>
      <c r="Y249" s="46">
        <f t="shared" si="223"/>
        <v>100</v>
      </c>
    </row>
    <row r="250" ht="14.25" customHeight="1">
      <c r="B250" s="77"/>
      <c r="C250" s="77"/>
      <c r="D250" s="77"/>
      <c r="E250" s="77"/>
      <c r="F250" s="77"/>
      <c r="G250" s="77"/>
      <c r="H250" s="77"/>
      <c r="I250" s="77"/>
      <c r="J250" s="77"/>
      <c r="K250" s="77"/>
      <c r="L250" s="77"/>
      <c r="M250" s="77"/>
      <c r="N250" s="77"/>
      <c r="O250" s="77"/>
      <c r="Q250" s="77"/>
      <c r="R250" s="77"/>
      <c r="S250" s="77"/>
      <c r="T250" s="77"/>
      <c r="U250" s="77"/>
      <c r="V250" s="77"/>
      <c r="W250" s="77"/>
      <c r="X250" s="77"/>
      <c r="Y250" s="77"/>
    </row>
    <row r="251" ht="14.25" customHeight="1">
      <c r="B251" s="282"/>
      <c r="C251" s="283"/>
      <c r="D251" s="284"/>
      <c r="E251" s="284"/>
      <c r="F251" s="284"/>
      <c r="G251" s="285" t="s">
        <v>455</v>
      </c>
      <c r="H251" s="284"/>
      <c r="I251" s="284"/>
      <c r="J251" s="284"/>
      <c r="K251" s="286"/>
      <c r="L251" s="286"/>
      <c r="M251" s="286"/>
      <c r="N251" s="286"/>
      <c r="O251" s="286"/>
      <c r="P251" s="286"/>
      <c r="Q251" s="286"/>
      <c r="R251" s="286"/>
      <c r="S251" s="287">
        <f t="shared" ref="S251:U251" si="224">IF(SUM(K224:K233,K249)&gt;0,SUM(S224:S233,S249)/SUM(COUNTIF(K224:K233,"&gt;0"),COUNTIF(K249,"&gt;0")),0)</f>
        <v>38.26492858</v>
      </c>
      <c r="T251" s="287">
        <f t="shared" si="224"/>
        <v>95.59804916</v>
      </c>
      <c r="U251" s="287">
        <f t="shared" si="224"/>
        <v>89.48662891</v>
      </c>
      <c r="V251" s="287">
        <f t="shared" ref="V251:Y251" si="225">IF(SUM($N224:$N250)&gt;0,SUM(V224:V250)/COUNTIF($N224:$N250,"&gt;0"),0)</f>
        <v>2.076232697</v>
      </c>
      <c r="W251" s="287">
        <f t="shared" si="225"/>
        <v>7.418839898</v>
      </c>
      <c r="X251" s="287">
        <f t="shared" si="225"/>
        <v>13.91724353</v>
      </c>
      <c r="Y251" s="287">
        <f t="shared" si="225"/>
        <v>45.89629363</v>
      </c>
    </row>
    <row r="252" ht="14.25" customHeight="1">
      <c r="V252" s="244">
        <f t="shared" ref="V252:X252" si="226">SUM(V225:V249)/2</f>
        <v>11.41927983</v>
      </c>
      <c r="W252" s="244">
        <f t="shared" si="226"/>
        <v>40.80361944</v>
      </c>
      <c r="X252" s="244">
        <f t="shared" si="226"/>
        <v>76.54483943</v>
      </c>
      <c r="Y252" s="244">
        <f>SUM(Y225:Y249)/5</f>
        <v>100.971846</v>
      </c>
    </row>
    <row r="253" ht="14.25" customHeight="1">
      <c r="K253" s="5"/>
    </row>
    <row r="254" ht="14.25" customHeight="1">
      <c r="B254" s="4" t="s">
        <v>300</v>
      </c>
      <c r="C254" s="5"/>
      <c r="D254" s="5"/>
      <c r="E254" s="5"/>
      <c r="F254" s="5"/>
      <c r="G254" s="5"/>
      <c r="H254" s="5"/>
      <c r="I254" s="5"/>
      <c r="J254" s="5"/>
      <c r="L254" s="5"/>
      <c r="M254" s="5"/>
      <c r="N254" s="6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</row>
    <row r="255" ht="15.75" customHeight="1">
      <c r="B255" s="169" t="s">
        <v>2</v>
      </c>
      <c r="C255" s="8"/>
      <c r="D255" s="8"/>
      <c r="E255" s="8"/>
      <c r="F255" s="8"/>
      <c r="G255" s="8"/>
      <c r="H255" s="8"/>
      <c r="I255" s="324"/>
      <c r="J255" s="171" t="s">
        <v>3</v>
      </c>
      <c r="K255" s="11"/>
      <c r="L255" s="11"/>
      <c r="M255" s="11"/>
      <c r="N255" s="11"/>
      <c r="O255" s="11"/>
      <c r="P255" s="11"/>
      <c r="Q255" s="11"/>
      <c r="R255" s="12"/>
      <c r="S255" s="171" t="s">
        <v>4</v>
      </c>
      <c r="T255" s="11"/>
      <c r="U255" s="11"/>
      <c r="V255" s="11"/>
      <c r="W255" s="11"/>
      <c r="X255" s="11"/>
      <c r="Y255" s="12"/>
    </row>
    <row r="256" ht="14.25" customHeight="1">
      <c r="B256" s="13"/>
      <c r="I256" s="92"/>
      <c r="J256" s="172" t="s">
        <v>5</v>
      </c>
      <c r="K256" s="173" t="s">
        <v>62</v>
      </c>
      <c r="L256" s="17"/>
      <c r="M256" s="17"/>
      <c r="N256" s="18"/>
      <c r="O256" s="173" t="s">
        <v>63</v>
      </c>
      <c r="P256" s="17"/>
      <c r="Q256" s="17"/>
      <c r="R256" s="18"/>
      <c r="S256" s="173" t="s">
        <v>64</v>
      </c>
      <c r="T256" s="17"/>
      <c r="U256" s="18"/>
      <c r="V256" s="173" t="s">
        <v>9</v>
      </c>
      <c r="W256" s="17"/>
      <c r="X256" s="17"/>
      <c r="Y256" s="18"/>
    </row>
    <row r="257" ht="14.25" customHeight="1">
      <c r="B257" s="19"/>
      <c r="C257" s="20"/>
      <c r="D257" s="20"/>
      <c r="E257" s="20"/>
      <c r="F257" s="20"/>
      <c r="G257" s="20"/>
      <c r="H257" s="20"/>
      <c r="I257" s="21"/>
      <c r="J257" s="22"/>
      <c r="K257" s="174" t="s">
        <v>10</v>
      </c>
      <c r="L257" s="174" t="s">
        <v>11</v>
      </c>
      <c r="M257" s="174" t="s">
        <v>12</v>
      </c>
      <c r="N257" s="174" t="s">
        <v>13</v>
      </c>
      <c r="O257" s="174" t="s">
        <v>10</v>
      </c>
      <c r="P257" s="174" t="s">
        <v>11</v>
      </c>
      <c r="Q257" s="174" t="s">
        <v>12</v>
      </c>
      <c r="R257" s="174" t="s">
        <v>13</v>
      </c>
      <c r="S257" s="174" t="s">
        <v>10</v>
      </c>
      <c r="T257" s="174" t="s">
        <v>11</v>
      </c>
      <c r="U257" s="174" t="s">
        <v>12</v>
      </c>
      <c r="V257" s="174" t="s">
        <v>10</v>
      </c>
      <c r="W257" s="174" t="s">
        <v>11</v>
      </c>
      <c r="X257" s="174" t="s">
        <v>12</v>
      </c>
      <c r="Y257" s="174" t="s">
        <v>13</v>
      </c>
    </row>
    <row r="258" ht="14.25" customHeight="1">
      <c r="B258" s="176">
        <v>-1.0</v>
      </c>
      <c r="C258" s="27"/>
      <c r="D258" s="27"/>
      <c r="E258" s="27"/>
      <c r="F258" s="27"/>
      <c r="G258" s="27"/>
      <c r="H258" s="27"/>
      <c r="I258" s="325"/>
      <c r="J258" s="177">
        <v>-2.0</v>
      </c>
      <c r="K258" s="177">
        <v>-3.0</v>
      </c>
      <c r="L258" s="177">
        <v>-4.0</v>
      </c>
      <c r="M258" s="177">
        <v>-5.0</v>
      </c>
      <c r="N258" s="177">
        <v>-6.0</v>
      </c>
      <c r="O258" s="177">
        <v>-7.0</v>
      </c>
      <c r="P258" s="177">
        <v>-8.0</v>
      </c>
      <c r="Q258" s="177">
        <v>-9.0</v>
      </c>
      <c r="R258" s="177">
        <v>-10.0</v>
      </c>
      <c r="S258" s="177">
        <v>-11.0</v>
      </c>
      <c r="T258" s="177">
        <v>-12.0</v>
      </c>
      <c r="U258" s="177">
        <v>-13.0</v>
      </c>
      <c r="V258" s="177">
        <v>-14.0</v>
      </c>
      <c r="W258" s="177">
        <v>-15.0</v>
      </c>
      <c r="X258" s="177">
        <v>-16.0</v>
      </c>
      <c r="Y258" s="177">
        <v>-17.0</v>
      </c>
    </row>
    <row r="259" ht="14.25" customHeight="1">
      <c r="B259" s="35"/>
      <c r="C259" s="35"/>
      <c r="D259" s="35"/>
      <c r="E259" s="35"/>
      <c r="F259" s="35"/>
      <c r="G259" s="35"/>
      <c r="H259" s="35"/>
      <c r="I259" s="35"/>
      <c r="J259" s="35"/>
      <c r="K259" s="35"/>
      <c r="L259" s="35"/>
      <c r="M259" s="35"/>
      <c r="N259" s="35"/>
      <c r="O259" s="35"/>
      <c r="P259" s="35"/>
      <c r="Q259" s="35"/>
      <c r="R259" s="35"/>
      <c r="S259" s="35"/>
      <c r="T259" s="35"/>
      <c r="U259" s="35"/>
      <c r="V259" s="35"/>
      <c r="W259" s="35"/>
      <c r="X259" s="35"/>
      <c r="Y259" s="35"/>
    </row>
    <row r="260" ht="14.25" customHeight="1">
      <c r="B260" s="39" t="s">
        <v>301</v>
      </c>
      <c r="C260" s="39"/>
      <c r="D260" s="77"/>
      <c r="E260" s="77"/>
      <c r="F260" s="77"/>
      <c r="G260" s="77"/>
      <c r="H260" s="77"/>
      <c r="I260" s="159"/>
      <c r="J260" s="103" t="s">
        <v>85</v>
      </c>
      <c r="K260" s="39">
        <f t="shared" ref="K260:R260" si="227">SUM(K261:K262)</f>
        <v>1</v>
      </c>
      <c r="L260" s="39">
        <f t="shared" si="227"/>
        <v>3</v>
      </c>
      <c r="M260" s="60">
        <f t="shared" si="227"/>
        <v>4</v>
      </c>
      <c r="N260" s="178">
        <f t="shared" si="227"/>
        <v>7</v>
      </c>
      <c r="O260" s="62">
        <f t="shared" si="227"/>
        <v>1</v>
      </c>
      <c r="P260" s="39">
        <f t="shared" si="227"/>
        <v>3</v>
      </c>
      <c r="Q260" s="39">
        <f t="shared" si="227"/>
        <v>4</v>
      </c>
      <c r="R260" s="39">
        <f t="shared" si="227"/>
        <v>7</v>
      </c>
      <c r="S260" s="46">
        <f t="shared" ref="S260:U260" si="228">IF(K260=0,0,IF((O260/K260*100)&gt;120,120,O260/K260*100))</f>
        <v>100</v>
      </c>
      <c r="T260" s="46">
        <f t="shared" si="228"/>
        <v>100</v>
      </c>
      <c r="U260" s="46">
        <f t="shared" si="228"/>
        <v>100</v>
      </c>
      <c r="V260" s="46">
        <f t="shared" ref="V260:Y260" si="229">IF($N260=0,0,IF((O260/$N260*100)&gt;120,120,O260/$N260*100))</f>
        <v>14.28571429</v>
      </c>
      <c r="W260" s="46">
        <f t="shared" si="229"/>
        <v>42.85714286</v>
      </c>
      <c r="X260" s="46">
        <f t="shared" si="229"/>
        <v>57.14285714</v>
      </c>
      <c r="Y260" s="46">
        <f t="shared" si="229"/>
        <v>100</v>
      </c>
    </row>
    <row r="261" ht="14.25" customHeight="1">
      <c r="B261" s="39"/>
      <c r="C261" s="109" t="s">
        <v>302</v>
      </c>
      <c r="D261" s="77"/>
      <c r="E261" s="77"/>
      <c r="F261" s="77"/>
      <c r="G261" s="77"/>
      <c r="H261" s="77"/>
      <c r="I261" s="159"/>
      <c r="J261" s="110" t="s">
        <v>87</v>
      </c>
      <c r="K261" s="42">
        <v>1.0</v>
      </c>
      <c r="L261" s="42">
        <v>3.0</v>
      </c>
      <c r="M261" s="42">
        <v>4.0</v>
      </c>
      <c r="N261" s="42">
        <v>6.0</v>
      </c>
      <c r="O261" s="42">
        <v>1.0</v>
      </c>
      <c r="P261" s="42">
        <v>3.0</v>
      </c>
      <c r="Q261" s="42">
        <v>4.0</v>
      </c>
      <c r="R261" s="42">
        <v>6.0</v>
      </c>
      <c r="S261" s="46">
        <f t="shared" ref="S261:U261" si="230">IF(K261=0,0,IF((O261/K261*100)&gt;120,120,O261/K261*100))</f>
        <v>100</v>
      </c>
      <c r="T261" s="46">
        <f t="shared" si="230"/>
        <v>100</v>
      </c>
      <c r="U261" s="46">
        <f t="shared" si="230"/>
        <v>100</v>
      </c>
      <c r="V261" s="46">
        <f t="shared" ref="V261:Y261" si="231">IF($N261=0,0,IF((O261/$N261*100)&gt;120,120,O261/$N261*100))</f>
        <v>16.66666667</v>
      </c>
      <c r="W261" s="46">
        <f t="shared" si="231"/>
        <v>50</v>
      </c>
      <c r="X261" s="46">
        <f t="shared" si="231"/>
        <v>66.66666667</v>
      </c>
      <c r="Y261" s="46">
        <f t="shared" si="231"/>
        <v>100</v>
      </c>
    </row>
    <row r="262" ht="14.25" customHeight="1">
      <c r="B262" s="39"/>
      <c r="C262" s="109" t="s">
        <v>303</v>
      </c>
      <c r="D262" s="77"/>
      <c r="E262" s="77"/>
      <c r="F262" s="77"/>
      <c r="G262" s="77"/>
      <c r="H262" s="77"/>
      <c r="I262" s="159"/>
      <c r="J262" s="110" t="s">
        <v>66</v>
      </c>
      <c r="K262" s="42">
        <v>0.0</v>
      </c>
      <c r="L262" s="42">
        <v>0.0</v>
      </c>
      <c r="M262" s="42">
        <v>0.0</v>
      </c>
      <c r="N262" s="42">
        <v>1.0</v>
      </c>
      <c r="O262" s="42">
        <v>0.0</v>
      </c>
      <c r="P262" s="42">
        <v>0.0</v>
      </c>
      <c r="Q262" s="42">
        <v>0.0</v>
      </c>
      <c r="R262" s="42">
        <v>1.0</v>
      </c>
      <c r="S262" s="46">
        <f t="shared" ref="S262:U262" si="232">IF(K262=0,0,IF((O262/K262*100)&gt;120,120,O262/K262*100))</f>
        <v>0</v>
      </c>
      <c r="T262" s="46">
        <f t="shared" si="232"/>
        <v>0</v>
      </c>
      <c r="U262" s="46">
        <f t="shared" si="232"/>
        <v>0</v>
      </c>
      <c r="V262" s="46">
        <f t="shared" ref="V262:Y262" si="233">IF($N262=0,0,IF((O262/$N262*100)&gt;120,120,O262/$N262*100))</f>
        <v>0</v>
      </c>
      <c r="W262" s="46">
        <f t="shared" si="233"/>
        <v>0</v>
      </c>
      <c r="X262" s="46">
        <f t="shared" si="233"/>
        <v>0</v>
      </c>
      <c r="Y262" s="46">
        <f t="shared" si="233"/>
        <v>100</v>
      </c>
    </row>
    <row r="263" ht="14.25" customHeight="1">
      <c r="B263" s="39" t="s">
        <v>304</v>
      </c>
      <c r="C263" s="39"/>
      <c r="D263" s="77"/>
      <c r="E263" s="77"/>
      <c r="F263" s="77"/>
      <c r="G263" s="77"/>
      <c r="H263" s="77"/>
      <c r="I263" s="159"/>
      <c r="J263" s="103" t="s">
        <v>85</v>
      </c>
      <c r="K263" s="39">
        <f t="shared" ref="K263:R263" si="234">SUM(K264:K265)</f>
        <v>1</v>
      </c>
      <c r="L263" s="39">
        <f t="shared" si="234"/>
        <v>3</v>
      </c>
      <c r="M263" s="60">
        <f t="shared" si="234"/>
        <v>4</v>
      </c>
      <c r="N263" s="178">
        <f t="shared" si="234"/>
        <v>7</v>
      </c>
      <c r="O263" s="62">
        <f t="shared" si="234"/>
        <v>1</v>
      </c>
      <c r="P263" s="39">
        <f t="shared" si="234"/>
        <v>3</v>
      </c>
      <c r="Q263" s="39">
        <f t="shared" si="234"/>
        <v>4</v>
      </c>
      <c r="R263" s="39">
        <f t="shared" si="234"/>
        <v>7</v>
      </c>
      <c r="S263" s="46">
        <f t="shared" ref="S263:U263" si="235">IF(K263=0,0,IF((O263/K263*100)&gt;120,120,O263/K263*100))</f>
        <v>100</v>
      </c>
      <c r="T263" s="46">
        <f t="shared" si="235"/>
        <v>100</v>
      </c>
      <c r="U263" s="46">
        <f t="shared" si="235"/>
        <v>100</v>
      </c>
      <c r="V263" s="46">
        <f t="shared" ref="V263:Y263" si="236">IF($N263=0,0,IF((O263/$N263*100)&gt;120,120,O263/$N263*100))</f>
        <v>14.28571429</v>
      </c>
      <c r="W263" s="46">
        <f t="shared" si="236"/>
        <v>42.85714286</v>
      </c>
      <c r="X263" s="46">
        <f t="shared" si="236"/>
        <v>57.14285714</v>
      </c>
      <c r="Y263" s="46">
        <f t="shared" si="236"/>
        <v>100</v>
      </c>
    </row>
    <row r="264" ht="14.25" customHeight="1">
      <c r="B264" s="39"/>
      <c r="C264" s="109" t="s">
        <v>305</v>
      </c>
      <c r="D264" s="77"/>
      <c r="E264" s="77"/>
      <c r="F264" s="77"/>
      <c r="G264" s="77"/>
      <c r="H264" s="77"/>
      <c r="I264" s="159"/>
      <c r="J264" s="110" t="s">
        <v>87</v>
      </c>
      <c r="K264" s="42">
        <v>1.0</v>
      </c>
      <c r="L264" s="42">
        <v>3.0</v>
      </c>
      <c r="M264" s="42">
        <v>4.0</v>
      </c>
      <c r="N264" s="42">
        <v>6.0</v>
      </c>
      <c r="O264" s="42">
        <v>1.0</v>
      </c>
      <c r="P264" s="42">
        <v>3.0</v>
      </c>
      <c r="Q264" s="42">
        <v>4.0</v>
      </c>
      <c r="R264" s="42">
        <v>6.0</v>
      </c>
      <c r="S264" s="46">
        <f t="shared" ref="S264:U264" si="237">IF(K264=0,0,IF((O264/K264*100)&gt;120,120,O264/K264*100))</f>
        <v>100</v>
      </c>
      <c r="T264" s="46">
        <f t="shared" si="237"/>
        <v>100</v>
      </c>
      <c r="U264" s="46">
        <f t="shared" si="237"/>
        <v>100</v>
      </c>
      <c r="V264" s="46">
        <f t="shared" ref="V264:Y264" si="238">IF($N264=0,0,IF((O264/$N264*100)&gt;120,120,O264/$N264*100))</f>
        <v>16.66666667</v>
      </c>
      <c r="W264" s="46">
        <f t="shared" si="238"/>
        <v>50</v>
      </c>
      <c r="X264" s="46">
        <f t="shared" si="238"/>
        <v>66.66666667</v>
      </c>
      <c r="Y264" s="46">
        <f t="shared" si="238"/>
        <v>100</v>
      </c>
    </row>
    <row r="265" ht="14.25" customHeight="1">
      <c r="B265" s="39"/>
      <c r="C265" s="109" t="s">
        <v>306</v>
      </c>
      <c r="D265" s="77"/>
      <c r="E265" s="77"/>
      <c r="F265" s="77"/>
      <c r="G265" s="77"/>
      <c r="H265" s="77"/>
      <c r="I265" s="159"/>
      <c r="J265" s="110" t="s">
        <v>66</v>
      </c>
      <c r="K265" s="42">
        <v>0.0</v>
      </c>
      <c r="L265" s="42">
        <v>0.0</v>
      </c>
      <c r="M265" s="42">
        <v>0.0</v>
      </c>
      <c r="N265" s="42">
        <v>1.0</v>
      </c>
      <c r="O265" s="42">
        <v>0.0</v>
      </c>
      <c r="P265" s="42">
        <v>0.0</v>
      </c>
      <c r="Q265" s="42">
        <v>0.0</v>
      </c>
      <c r="R265" s="42">
        <v>1.0</v>
      </c>
      <c r="S265" s="46">
        <f t="shared" ref="S265:U265" si="239">IF(K265=0,0,IF((O265/K265*100)&gt;120,120,O265/K265*100))</f>
        <v>0</v>
      </c>
      <c r="T265" s="46">
        <f t="shared" si="239"/>
        <v>0</v>
      </c>
      <c r="U265" s="46">
        <f t="shared" si="239"/>
        <v>0</v>
      </c>
      <c r="V265" s="46">
        <f t="shared" ref="V265:Y265" si="240">IF($N265=0,0,IF((O265/$N265*100)&gt;120,120,O265/$N265*100))</f>
        <v>0</v>
      </c>
      <c r="W265" s="46">
        <f t="shared" si="240"/>
        <v>0</v>
      </c>
      <c r="X265" s="46">
        <f t="shared" si="240"/>
        <v>0</v>
      </c>
      <c r="Y265" s="46">
        <f t="shared" si="240"/>
        <v>100</v>
      </c>
    </row>
    <row r="266" ht="14.25" customHeight="1">
      <c r="B266" s="39" t="s">
        <v>307</v>
      </c>
      <c r="C266" s="39"/>
      <c r="D266" s="77"/>
      <c r="E266" s="77"/>
      <c r="F266" s="77"/>
      <c r="G266" s="77"/>
      <c r="H266" s="77"/>
      <c r="I266" s="159"/>
      <c r="J266" s="103" t="s">
        <v>87</v>
      </c>
      <c r="K266" s="42">
        <v>1.0</v>
      </c>
      <c r="L266" s="42">
        <v>3.0</v>
      </c>
      <c r="M266" s="42">
        <v>4.0</v>
      </c>
      <c r="N266" s="42">
        <v>5.0</v>
      </c>
      <c r="O266" s="42">
        <v>1.0</v>
      </c>
      <c r="P266" s="42">
        <v>3.0</v>
      </c>
      <c r="Q266" s="42">
        <v>4.0</v>
      </c>
      <c r="R266" s="42">
        <v>5.0</v>
      </c>
      <c r="S266" s="46">
        <f t="shared" ref="S266:U266" si="241">IF(K266=0,0,IF((O266/K266*100)&gt;120,120,O266/K266*100))</f>
        <v>100</v>
      </c>
      <c r="T266" s="46">
        <f t="shared" si="241"/>
        <v>100</v>
      </c>
      <c r="U266" s="46">
        <f t="shared" si="241"/>
        <v>100</v>
      </c>
      <c r="V266" s="46">
        <f t="shared" ref="V266:Y266" si="242">IF($N266=0,0,IF((O266/$N266*100)&gt;120,120,O266/$N266*100))</f>
        <v>20</v>
      </c>
      <c r="W266" s="46">
        <f t="shared" si="242"/>
        <v>60</v>
      </c>
      <c r="X266" s="46">
        <f t="shared" si="242"/>
        <v>80</v>
      </c>
      <c r="Y266" s="46">
        <f t="shared" si="242"/>
        <v>100</v>
      </c>
    </row>
    <row r="267" ht="14.25" customHeight="1">
      <c r="B267" s="39" t="s">
        <v>308</v>
      </c>
      <c r="C267" s="39"/>
      <c r="D267" s="77"/>
      <c r="E267" s="77"/>
      <c r="F267" s="77"/>
      <c r="G267" s="77"/>
      <c r="H267" s="77"/>
      <c r="I267" s="159"/>
      <c r="J267" s="103" t="s">
        <v>95</v>
      </c>
      <c r="K267" s="42">
        <v>3.0</v>
      </c>
      <c r="L267" s="42">
        <v>6.0</v>
      </c>
      <c r="M267" s="42">
        <v>9.0</v>
      </c>
      <c r="N267" s="42">
        <v>12.0</v>
      </c>
      <c r="O267" s="42">
        <v>3.0</v>
      </c>
      <c r="P267" s="42">
        <v>6.0</v>
      </c>
      <c r="Q267" s="42">
        <v>9.0</v>
      </c>
      <c r="R267" s="42">
        <v>12.0</v>
      </c>
      <c r="S267" s="46">
        <f t="shared" ref="S267:U267" si="243">IF(K267=0,0,IF((O267/K267*100)&gt;120,120,O267/K267*100))</f>
        <v>100</v>
      </c>
      <c r="T267" s="46">
        <f t="shared" si="243"/>
        <v>100</v>
      </c>
      <c r="U267" s="46">
        <f t="shared" si="243"/>
        <v>100</v>
      </c>
      <c r="V267" s="46">
        <f t="shared" ref="V267:Y267" si="244">IF($N267=0,0,IF((O267/$N267*100)&gt;120,120,O267/$N267*100))</f>
        <v>25</v>
      </c>
      <c r="W267" s="46">
        <f t="shared" si="244"/>
        <v>50</v>
      </c>
      <c r="X267" s="46">
        <f t="shared" si="244"/>
        <v>75</v>
      </c>
      <c r="Y267" s="46">
        <f t="shared" si="244"/>
        <v>100</v>
      </c>
    </row>
    <row r="268" ht="14.25" customHeight="1">
      <c r="B268" s="39" t="s">
        <v>309</v>
      </c>
      <c r="C268" s="39"/>
      <c r="D268" s="77"/>
      <c r="E268" s="77"/>
      <c r="F268" s="77"/>
      <c r="G268" s="77"/>
      <c r="H268" s="77"/>
      <c r="I268" s="159"/>
      <c r="J268" s="103" t="s">
        <v>35</v>
      </c>
      <c r="K268" s="254">
        <f t="shared" ref="K268:O268" si="245">(SUM(K269,K273,K277)/SUM($I269,$I273,$I277)*100)</f>
        <v>24.32432432</v>
      </c>
      <c r="L268" s="254">
        <f t="shared" si="245"/>
        <v>48.63226863</v>
      </c>
      <c r="M268" s="254">
        <f t="shared" si="245"/>
        <v>74.18509419</v>
      </c>
      <c r="N268" s="254">
        <f t="shared" si="245"/>
        <v>99.01719902</v>
      </c>
      <c r="O268" s="254">
        <f t="shared" si="245"/>
        <v>24.27518428</v>
      </c>
      <c r="P268" s="254">
        <f t="shared" ref="P268:R268" si="246">IF($I269+$I273+$I277=0,0,AVERAGE(IF($I269&gt;0,P269/$I269*100,0),IF($I273&gt;0,P273/$I273*100,0),IF($I277&gt;0,P277/$I277*100,0)))</f>
        <v>49.44047361</v>
      </c>
      <c r="Q268" s="254">
        <f t="shared" si="246"/>
        <v>74.63360046</v>
      </c>
      <c r="R268" s="254">
        <f t="shared" si="246"/>
        <v>99.075879</v>
      </c>
      <c r="S268" s="46">
        <f t="shared" ref="S268:U268" si="247">IF(K268=0,0,IF((O268/K268*100)&gt;120,120,O268/K268*100))</f>
        <v>99.7979798</v>
      </c>
      <c r="T268" s="46">
        <f t="shared" si="247"/>
        <v>101.6618698</v>
      </c>
      <c r="U268" s="46">
        <f t="shared" si="247"/>
        <v>100.6045774</v>
      </c>
      <c r="V268" s="46">
        <f t="shared" ref="V268:Y268" si="248">IF($N268=0,0,IF((O268/$N268*100)&gt;120,120,O268/$N268*100))</f>
        <v>24.51612903</v>
      </c>
      <c r="W268" s="46">
        <f t="shared" si="248"/>
        <v>49.93119792</v>
      </c>
      <c r="X268" s="46">
        <f t="shared" si="248"/>
        <v>75.37438062</v>
      </c>
      <c r="Y268" s="46">
        <f t="shared" si="248"/>
        <v>100.0592624</v>
      </c>
    </row>
    <row r="269" ht="14.25" customHeight="1">
      <c r="B269" s="39"/>
      <c r="C269" s="109" t="s">
        <v>310</v>
      </c>
      <c r="D269" s="77"/>
      <c r="E269" s="77"/>
      <c r="F269" s="77"/>
      <c r="G269" s="77"/>
      <c r="H269" s="77"/>
      <c r="I269" s="42">
        <f>SUM(I270:I272)</f>
        <v>960</v>
      </c>
      <c r="J269" s="110" t="s">
        <v>98</v>
      </c>
      <c r="K269" s="42">
        <f t="shared" ref="K269:R269" si="249">SUM(K270:K272)</f>
        <v>240</v>
      </c>
      <c r="L269" s="42">
        <f t="shared" si="249"/>
        <v>480</v>
      </c>
      <c r="M269" s="42">
        <f t="shared" si="249"/>
        <v>720</v>
      </c>
      <c r="N269" s="42">
        <f t="shared" si="249"/>
        <v>960</v>
      </c>
      <c r="O269" s="42">
        <f t="shared" si="249"/>
        <v>240</v>
      </c>
      <c r="P269" s="42">
        <f t="shared" si="249"/>
        <v>480</v>
      </c>
      <c r="Q269" s="42">
        <f t="shared" si="249"/>
        <v>720</v>
      </c>
      <c r="R269" s="42">
        <f t="shared" si="249"/>
        <v>960</v>
      </c>
      <c r="S269" s="327">
        <f t="shared" ref="S269:U269" si="250">IF(K269=0,0,IF((O269/K269*100)&gt;120,120,O269/K269*100))</f>
        <v>100</v>
      </c>
      <c r="T269" s="327">
        <f t="shared" si="250"/>
        <v>100</v>
      </c>
      <c r="U269" s="328">
        <f t="shared" si="250"/>
        <v>100</v>
      </c>
      <c r="V269" s="111"/>
      <c r="W269" s="111"/>
      <c r="X269" s="111"/>
      <c r="Y269" s="111"/>
    </row>
    <row r="270" ht="14.25" customHeight="1">
      <c r="B270" s="39"/>
      <c r="C270" s="109"/>
      <c r="D270" s="77" t="s">
        <v>311</v>
      </c>
      <c r="E270" s="77"/>
      <c r="F270" s="77"/>
      <c r="G270" s="77"/>
      <c r="H270" s="77"/>
      <c r="I270" s="42">
        <f>N269</f>
        <v>960</v>
      </c>
      <c r="J270" s="110" t="s">
        <v>98</v>
      </c>
      <c r="K270" s="42">
        <v>240.0</v>
      </c>
      <c r="L270" s="42">
        <v>480.0</v>
      </c>
      <c r="M270" s="42">
        <v>720.0</v>
      </c>
      <c r="N270" s="42">
        <v>960.0</v>
      </c>
      <c r="O270" s="42">
        <v>240.0</v>
      </c>
      <c r="P270" s="42">
        <v>480.0</v>
      </c>
      <c r="Q270" s="42">
        <v>720.0</v>
      </c>
      <c r="R270" s="42">
        <v>960.0</v>
      </c>
      <c r="S270" s="327">
        <f t="shared" ref="S270:U270" si="251">IF(K270=0,0,IF((O270/K270*100)&gt;120,120,O270/K270*100))</f>
        <v>100</v>
      </c>
      <c r="T270" s="327">
        <f t="shared" si="251"/>
        <v>100</v>
      </c>
      <c r="U270" s="328">
        <f t="shared" si="251"/>
        <v>100</v>
      </c>
      <c r="V270" s="111"/>
      <c r="W270" s="111"/>
      <c r="X270" s="111"/>
      <c r="Y270" s="111"/>
    </row>
    <row r="271" ht="14.25" customHeight="1">
      <c r="B271" s="39"/>
      <c r="C271" s="109"/>
      <c r="D271" s="77" t="s">
        <v>312</v>
      </c>
      <c r="E271" s="77"/>
      <c r="F271" s="77"/>
      <c r="G271" s="77"/>
      <c r="H271" s="77"/>
      <c r="I271" s="42">
        <v>0.0</v>
      </c>
      <c r="J271" s="110" t="s">
        <v>98</v>
      </c>
      <c r="K271" s="42">
        <v>0.0</v>
      </c>
      <c r="L271" s="42">
        <v>0.0</v>
      </c>
      <c r="M271" s="42">
        <v>0.0</v>
      </c>
      <c r="N271" s="42">
        <v>0.0</v>
      </c>
      <c r="O271" s="42">
        <v>0.0</v>
      </c>
      <c r="P271" s="42">
        <v>0.0</v>
      </c>
      <c r="Q271" s="42">
        <v>0.0</v>
      </c>
      <c r="R271" s="42">
        <v>0.0</v>
      </c>
      <c r="S271" s="327">
        <f t="shared" ref="S271:U271" si="252">IF(K271=0,0,IF((O271/K271*100)&gt;120,120,O271/K271*100))</f>
        <v>0</v>
      </c>
      <c r="T271" s="327">
        <f t="shared" si="252"/>
        <v>0</v>
      </c>
      <c r="U271" s="328">
        <f t="shared" si="252"/>
        <v>0</v>
      </c>
      <c r="V271" s="111"/>
      <c r="W271" s="111"/>
      <c r="X271" s="111"/>
      <c r="Y271" s="111"/>
    </row>
    <row r="272" ht="14.25" customHeight="1">
      <c r="B272" s="39"/>
      <c r="C272" s="109"/>
      <c r="D272" s="77" t="s">
        <v>313</v>
      </c>
      <c r="E272" s="77"/>
      <c r="F272" s="77"/>
      <c r="G272" s="77"/>
      <c r="H272" s="77"/>
      <c r="I272" s="42">
        <f>N271</f>
        <v>0</v>
      </c>
      <c r="J272" s="110" t="s">
        <v>98</v>
      </c>
      <c r="K272" s="42">
        <v>0.0</v>
      </c>
      <c r="L272" s="42">
        <v>0.0</v>
      </c>
      <c r="M272" s="42">
        <v>0.0</v>
      </c>
      <c r="N272" s="42">
        <v>0.0</v>
      </c>
      <c r="O272" s="42">
        <v>0.0</v>
      </c>
      <c r="P272" s="42">
        <v>0.0</v>
      </c>
      <c r="Q272" s="42">
        <v>0.0</v>
      </c>
      <c r="R272" s="42">
        <v>0.0</v>
      </c>
      <c r="S272" s="327">
        <f t="shared" ref="S272:U272" si="253">IF(K272=0,0,IF((O272/K272*100)&gt;120,120,O272/K272*100))</f>
        <v>0</v>
      </c>
      <c r="T272" s="327">
        <f t="shared" si="253"/>
        <v>0</v>
      </c>
      <c r="U272" s="328">
        <f t="shared" si="253"/>
        <v>0</v>
      </c>
      <c r="V272" s="111"/>
      <c r="W272" s="111"/>
      <c r="X272" s="111"/>
      <c r="Y272" s="111"/>
    </row>
    <row r="273" ht="14.25" customHeight="1">
      <c r="B273" s="39"/>
      <c r="C273" s="109" t="s">
        <v>314</v>
      </c>
      <c r="D273" s="77"/>
      <c r="E273" s="77"/>
      <c r="F273" s="77"/>
      <c r="G273" s="77"/>
      <c r="H273" s="77"/>
      <c r="I273" s="42">
        <f>SUM(I274:I276)</f>
        <v>4617</v>
      </c>
      <c r="J273" s="110" t="s">
        <v>98</v>
      </c>
      <c r="K273" s="42">
        <f t="shared" ref="K273:R273" si="254">SUM(K274:K276)</f>
        <v>1113</v>
      </c>
      <c r="L273" s="42">
        <f t="shared" si="254"/>
        <v>2225</v>
      </c>
      <c r="M273" s="42">
        <f t="shared" si="254"/>
        <v>3412</v>
      </c>
      <c r="N273" s="42">
        <f t="shared" si="254"/>
        <v>4557</v>
      </c>
      <c r="O273" s="42">
        <f t="shared" si="254"/>
        <v>1110</v>
      </c>
      <c r="P273" s="42">
        <f t="shared" si="254"/>
        <v>2231</v>
      </c>
      <c r="Q273" s="42">
        <f t="shared" si="254"/>
        <v>3412</v>
      </c>
      <c r="R273" s="42">
        <f t="shared" si="254"/>
        <v>4489</v>
      </c>
      <c r="S273" s="327">
        <f t="shared" ref="S273:U273" si="255">IF(K273=0,0,IF((O273/K273*100)&gt;120,120,O273/K273*100))</f>
        <v>99.73045822</v>
      </c>
      <c r="T273" s="327">
        <f t="shared" si="255"/>
        <v>100.2696629</v>
      </c>
      <c r="U273" s="328">
        <f t="shared" si="255"/>
        <v>100</v>
      </c>
      <c r="V273" s="111"/>
      <c r="W273" s="111"/>
      <c r="X273" s="111"/>
      <c r="Y273" s="111"/>
    </row>
    <row r="274" ht="14.25" customHeight="1">
      <c r="B274" s="39"/>
      <c r="C274" s="109"/>
      <c r="D274" s="77" t="s">
        <v>311</v>
      </c>
      <c r="E274" s="77"/>
      <c r="F274" s="77"/>
      <c r="G274" s="77"/>
      <c r="H274" s="77"/>
      <c r="I274" s="42">
        <f>N274</f>
        <v>1873</v>
      </c>
      <c r="J274" s="110" t="s">
        <v>98</v>
      </c>
      <c r="K274" s="42">
        <v>442.0</v>
      </c>
      <c r="L274" s="42">
        <v>883.0</v>
      </c>
      <c r="M274" s="42">
        <v>1399.0</v>
      </c>
      <c r="N274" s="42">
        <v>1873.0</v>
      </c>
      <c r="O274" s="42">
        <v>442.0</v>
      </c>
      <c r="P274" s="42">
        <v>883.0</v>
      </c>
      <c r="Q274" s="42">
        <v>1399.0</v>
      </c>
      <c r="R274" s="42">
        <v>1805.0</v>
      </c>
      <c r="S274" s="327">
        <f t="shared" ref="S274:U274" si="256">IF(K274=0,0,IF((O274/K274*100)&gt;120,120,O274/K274*100))</f>
        <v>100</v>
      </c>
      <c r="T274" s="327">
        <f t="shared" si="256"/>
        <v>100</v>
      </c>
      <c r="U274" s="328">
        <f t="shared" si="256"/>
        <v>100</v>
      </c>
      <c r="V274" s="111"/>
      <c r="W274" s="111"/>
      <c r="X274" s="111"/>
      <c r="Y274" s="111"/>
    </row>
    <row r="275" ht="14.25" customHeight="1">
      <c r="B275" s="39"/>
      <c r="C275" s="109"/>
      <c r="D275" s="77" t="s">
        <v>312</v>
      </c>
      <c r="E275" s="77"/>
      <c r="F275" s="77"/>
      <c r="G275" s="77"/>
      <c r="H275" s="77"/>
      <c r="I275" s="42">
        <v>2700.0</v>
      </c>
      <c r="J275" s="110" t="s">
        <v>98</v>
      </c>
      <c r="K275" s="42">
        <v>660.0</v>
      </c>
      <c r="L275" s="42">
        <v>1320.0</v>
      </c>
      <c r="M275" s="42">
        <v>1980.0</v>
      </c>
      <c r="N275" s="42">
        <v>2640.0</v>
      </c>
      <c r="O275" s="42">
        <v>657.0</v>
      </c>
      <c r="P275" s="42">
        <v>1326.0</v>
      </c>
      <c r="Q275" s="42">
        <v>1980.0</v>
      </c>
      <c r="R275" s="42">
        <v>2640.0</v>
      </c>
      <c r="S275" s="327">
        <f t="shared" ref="S275:U275" si="257">IF(K275=0,0,IF((O275/K275*100)&gt;120,120,O275/K275*100))</f>
        <v>99.54545455</v>
      </c>
      <c r="T275" s="327">
        <f t="shared" si="257"/>
        <v>100.4545455</v>
      </c>
      <c r="U275" s="328">
        <f t="shared" si="257"/>
        <v>100</v>
      </c>
      <c r="V275" s="111"/>
      <c r="W275" s="111"/>
      <c r="X275" s="111"/>
      <c r="Y275" s="111"/>
    </row>
    <row r="276" ht="14.25" customHeight="1">
      <c r="B276" s="39"/>
      <c r="C276" s="109"/>
      <c r="D276" s="77" t="s">
        <v>313</v>
      </c>
      <c r="E276" s="77"/>
      <c r="F276" s="77"/>
      <c r="G276" s="77"/>
      <c r="H276" s="77"/>
      <c r="I276" s="42">
        <f>N276</f>
        <v>44</v>
      </c>
      <c r="J276" s="110" t="s">
        <v>98</v>
      </c>
      <c r="K276" s="42">
        <v>11.0</v>
      </c>
      <c r="L276" s="42">
        <v>22.0</v>
      </c>
      <c r="M276" s="42">
        <v>33.0</v>
      </c>
      <c r="N276" s="42">
        <v>44.0</v>
      </c>
      <c r="O276" s="42">
        <v>11.0</v>
      </c>
      <c r="P276" s="42">
        <v>22.0</v>
      </c>
      <c r="Q276" s="42">
        <v>33.0</v>
      </c>
      <c r="R276" s="42">
        <v>44.0</v>
      </c>
      <c r="S276" s="327">
        <f t="shared" ref="S276:U276" si="258">IF(K276=0,0,IF((O276/K276*100)&gt;120,120,O276/K276*100))</f>
        <v>100</v>
      </c>
      <c r="T276" s="327">
        <f t="shared" si="258"/>
        <v>100</v>
      </c>
      <c r="U276" s="328">
        <f t="shared" si="258"/>
        <v>100</v>
      </c>
      <c r="V276" s="111"/>
      <c r="W276" s="111"/>
      <c r="X276" s="111"/>
      <c r="Y276" s="111"/>
    </row>
    <row r="277" ht="14.25" customHeight="1">
      <c r="B277" s="39"/>
      <c r="C277" s="109" t="s">
        <v>315</v>
      </c>
      <c r="D277" s="77"/>
      <c r="E277" s="77"/>
      <c r="F277" s="77"/>
      <c r="G277" s="77"/>
      <c r="H277" s="77"/>
      <c r="I277" s="42">
        <f>SUM(I278:I280)</f>
        <v>528</v>
      </c>
      <c r="J277" s="110" t="s">
        <v>98</v>
      </c>
      <c r="K277" s="42">
        <f t="shared" ref="K277:R277" si="259">SUM(K278:K280)</f>
        <v>132</v>
      </c>
      <c r="L277" s="42">
        <f t="shared" si="259"/>
        <v>264</v>
      </c>
      <c r="M277" s="42">
        <f t="shared" si="259"/>
        <v>397</v>
      </c>
      <c r="N277" s="42">
        <f t="shared" si="259"/>
        <v>528</v>
      </c>
      <c r="O277" s="42">
        <f t="shared" si="259"/>
        <v>132</v>
      </c>
      <c r="P277" s="42">
        <f t="shared" si="259"/>
        <v>264</v>
      </c>
      <c r="Q277" s="42">
        <f t="shared" si="259"/>
        <v>396</v>
      </c>
      <c r="R277" s="42">
        <f t="shared" si="259"/>
        <v>528</v>
      </c>
      <c r="S277" s="327">
        <f t="shared" ref="S277:U277" si="260">IF(K277=0,0,IF((O277/K277*100)&gt;120,120,O277/K277*100))</f>
        <v>100</v>
      </c>
      <c r="T277" s="327">
        <f t="shared" si="260"/>
        <v>100</v>
      </c>
      <c r="U277" s="328">
        <f t="shared" si="260"/>
        <v>99.74811083</v>
      </c>
      <c r="V277" s="111"/>
      <c r="W277" s="111"/>
      <c r="X277" s="111"/>
      <c r="Y277" s="111"/>
    </row>
    <row r="278" ht="14.25" customHeight="1">
      <c r="B278" s="39"/>
      <c r="C278" s="109"/>
      <c r="D278" s="77" t="s">
        <v>311</v>
      </c>
      <c r="E278" s="77"/>
      <c r="F278" s="77"/>
      <c r="G278" s="77"/>
      <c r="H278" s="77"/>
      <c r="I278" s="42">
        <f t="shared" ref="I278:I280" si="262">N278</f>
        <v>528</v>
      </c>
      <c r="J278" s="110" t="s">
        <v>98</v>
      </c>
      <c r="K278" s="42">
        <v>132.0</v>
      </c>
      <c r="L278" s="42">
        <v>264.0</v>
      </c>
      <c r="M278" s="42">
        <v>396.0</v>
      </c>
      <c r="N278" s="42">
        <v>528.0</v>
      </c>
      <c r="O278" s="42">
        <v>132.0</v>
      </c>
      <c r="P278" s="42">
        <v>264.0</v>
      </c>
      <c r="Q278" s="42">
        <v>396.0</v>
      </c>
      <c r="R278" s="42">
        <v>528.0</v>
      </c>
      <c r="S278" s="327">
        <f t="shared" ref="S278:U278" si="261">IF(K278=0,0,IF((O278/K278*100)&gt;120,120,O278/K278*100))</f>
        <v>100</v>
      </c>
      <c r="T278" s="327">
        <f t="shared" si="261"/>
        <v>100</v>
      </c>
      <c r="U278" s="328">
        <f t="shared" si="261"/>
        <v>100</v>
      </c>
      <c r="V278" s="111"/>
      <c r="W278" s="111"/>
      <c r="X278" s="111"/>
      <c r="Y278" s="111"/>
    </row>
    <row r="279" ht="14.25" customHeight="1">
      <c r="B279" s="39"/>
      <c r="C279" s="109"/>
      <c r="D279" s="77" t="s">
        <v>312</v>
      </c>
      <c r="E279" s="77"/>
      <c r="F279" s="77"/>
      <c r="G279" s="77"/>
      <c r="H279" s="77"/>
      <c r="I279" s="42">
        <f t="shared" si="262"/>
        <v>0</v>
      </c>
      <c r="J279" s="110" t="s">
        <v>98</v>
      </c>
      <c r="K279" s="42">
        <v>0.0</v>
      </c>
      <c r="L279" s="42">
        <v>0.0</v>
      </c>
      <c r="M279" s="42">
        <v>0.0</v>
      </c>
      <c r="N279" s="42">
        <v>0.0</v>
      </c>
      <c r="O279" s="42">
        <v>0.0</v>
      </c>
      <c r="P279" s="42">
        <v>0.0</v>
      </c>
      <c r="Q279" s="42">
        <v>0.0</v>
      </c>
      <c r="R279" s="42">
        <v>0.0</v>
      </c>
      <c r="S279" s="327">
        <f t="shared" ref="S279:U279" si="263">IF(K279=0,0,IF((O279/K279*100)&gt;120,120,O279/K279*100))</f>
        <v>0</v>
      </c>
      <c r="T279" s="327">
        <f t="shared" si="263"/>
        <v>0</v>
      </c>
      <c r="U279" s="328">
        <f t="shared" si="263"/>
        <v>0</v>
      </c>
      <c r="V279" s="111"/>
      <c r="W279" s="111"/>
      <c r="X279" s="111"/>
      <c r="Y279" s="111"/>
    </row>
    <row r="280" ht="14.25" customHeight="1">
      <c r="B280" s="39"/>
      <c r="C280" s="109"/>
      <c r="D280" s="77" t="s">
        <v>313</v>
      </c>
      <c r="E280" s="77"/>
      <c r="F280" s="77"/>
      <c r="G280" s="77"/>
      <c r="H280" s="77"/>
      <c r="I280" s="42">
        <f t="shared" si="262"/>
        <v>0</v>
      </c>
      <c r="J280" s="110" t="s">
        <v>98</v>
      </c>
      <c r="K280" s="42">
        <v>0.0</v>
      </c>
      <c r="L280" s="42">
        <v>0.0</v>
      </c>
      <c r="M280" s="42">
        <v>1.0</v>
      </c>
      <c r="N280" s="42">
        <v>0.0</v>
      </c>
      <c r="O280" s="42">
        <v>0.0</v>
      </c>
      <c r="P280" s="42">
        <v>0.0</v>
      </c>
      <c r="Q280" s="42">
        <v>0.0</v>
      </c>
      <c r="R280" s="42">
        <v>0.0</v>
      </c>
      <c r="S280" s="327">
        <f t="shared" ref="S280:U280" si="264">IF(K280=0,0,IF((O280/K280*100)&gt;120,120,O280/K280*100))</f>
        <v>0</v>
      </c>
      <c r="T280" s="327">
        <f t="shared" si="264"/>
        <v>0</v>
      </c>
      <c r="U280" s="328">
        <f t="shared" si="264"/>
        <v>0</v>
      </c>
      <c r="V280" s="111"/>
      <c r="W280" s="111"/>
      <c r="X280" s="111"/>
      <c r="Y280" s="111"/>
    </row>
    <row r="281" ht="14.25" customHeight="1">
      <c r="B281" s="39" t="s">
        <v>316</v>
      </c>
      <c r="C281" s="39"/>
      <c r="D281" s="77"/>
      <c r="E281" s="77"/>
      <c r="F281" s="77"/>
      <c r="G281" s="77"/>
      <c r="H281" s="77"/>
      <c r="I281" s="159"/>
      <c r="J281" s="103" t="s">
        <v>35</v>
      </c>
      <c r="K281" s="143">
        <v>24.324324324324326</v>
      </c>
      <c r="L281" s="143">
        <v>48.632268632268634</v>
      </c>
      <c r="M281" s="143">
        <v>74.18509418509419</v>
      </c>
      <c r="N281" s="143">
        <v>99.01719901719902</v>
      </c>
      <c r="O281" s="143">
        <v>24.275184275184277</v>
      </c>
      <c r="P281" s="143">
        <v>49.44047361201357</v>
      </c>
      <c r="Q281" s="143">
        <v>74.6336004620605</v>
      </c>
      <c r="R281" s="42">
        <v>99.08</v>
      </c>
      <c r="S281" s="46">
        <f t="shared" ref="S281:U281" si="265">IF(K281=0,0,IF((O281/K281*100)&gt;120,120,O281/K281*100))</f>
        <v>99.7979798</v>
      </c>
      <c r="T281" s="46">
        <f t="shared" si="265"/>
        <v>101.6618698</v>
      </c>
      <c r="U281" s="46">
        <f t="shared" si="265"/>
        <v>100.6045774</v>
      </c>
      <c r="V281" s="46">
        <f t="shared" ref="V281:Y281" si="266">IF($N281=0,0,IF((O281/$N281*100)&gt;120,120,O281/$N281*100))</f>
        <v>24.51612903</v>
      </c>
      <c r="W281" s="46">
        <f t="shared" si="266"/>
        <v>49.93119792</v>
      </c>
      <c r="X281" s="46">
        <f t="shared" si="266"/>
        <v>75.37438062</v>
      </c>
      <c r="Y281" s="46">
        <f t="shared" si="266"/>
        <v>100.0634243</v>
      </c>
    </row>
    <row r="282" ht="14.25" customHeight="1">
      <c r="B282" s="77"/>
      <c r="C282" s="77"/>
      <c r="D282" s="77"/>
      <c r="E282" s="77"/>
      <c r="F282" s="77"/>
      <c r="G282" s="77"/>
      <c r="H282" s="77"/>
      <c r="I282" s="77"/>
      <c r="J282" s="77"/>
      <c r="K282" s="77"/>
      <c r="L282" s="77"/>
      <c r="M282" s="77"/>
      <c r="N282" s="77"/>
      <c r="O282" s="77"/>
      <c r="P282" s="77"/>
      <c r="Q282" s="77"/>
      <c r="R282" s="77"/>
      <c r="S282" s="77"/>
      <c r="T282" s="77"/>
      <c r="U282" s="77"/>
      <c r="V282" s="77"/>
      <c r="W282" s="77"/>
      <c r="X282" s="77"/>
      <c r="Y282" s="77"/>
    </row>
    <row r="283" ht="14.25" customHeight="1">
      <c r="B283" s="330"/>
      <c r="C283" s="331"/>
      <c r="D283" s="332"/>
      <c r="E283" s="332"/>
      <c r="F283" s="332"/>
      <c r="G283" s="333" t="s">
        <v>456</v>
      </c>
      <c r="H283" s="332"/>
      <c r="I283" s="332"/>
      <c r="J283" s="332"/>
      <c r="K283" s="334"/>
      <c r="L283" s="334"/>
      <c r="M283" s="334"/>
      <c r="N283" s="334"/>
      <c r="O283" s="334"/>
      <c r="P283" s="334"/>
      <c r="Q283" s="334"/>
      <c r="R283" s="334"/>
      <c r="S283" s="335">
        <f t="shared" ref="S283:U283" si="267">IF(SUM(K259:K268,K281)&gt;0,SUM(S259:S268,S281)/SUM(COUNTIF(K259:K268,"&gt;0"),COUNTIF(K281,"&gt;0")),0)</f>
        <v>99.94949495</v>
      </c>
      <c r="T283" s="335">
        <f t="shared" si="267"/>
        <v>100.4154674</v>
      </c>
      <c r="U283" s="335">
        <f t="shared" si="267"/>
        <v>100.1511443</v>
      </c>
      <c r="V283" s="335">
        <f t="shared" ref="V283:Y283" si="268">IF(SUM($N259:$N282)&gt;0,SUM(V259:V282)/COUNTIF($N259:$N282,"&gt;0"),0)</f>
        <v>8.663167776</v>
      </c>
      <c r="W283" s="335">
        <f t="shared" si="268"/>
        <v>21.97648231</v>
      </c>
      <c r="X283" s="335">
        <f t="shared" si="268"/>
        <v>30.74265605</v>
      </c>
      <c r="Y283" s="335">
        <f t="shared" si="268"/>
        <v>55.56237148</v>
      </c>
    </row>
    <row r="284" ht="14.25" customHeight="1">
      <c r="V284" s="244">
        <f t="shared" ref="V284:X284" si="269">SUM(V260:V281)/8</f>
        <v>19.4921275</v>
      </c>
      <c r="W284" s="244">
        <f t="shared" si="269"/>
        <v>49.44708519</v>
      </c>
      <c r="X284" s="244">
        <f t="shared" si="269"/>
        <v>69.17097611</v>
      </c>
      <c r="Y284" s="244">
        <f>SUM(Y260:Y281)/10</f>
        <v>100.0122687</v>
      </c>
    </row>
    <row r="285" ht="14.25" customHeight="1"/>
    <row r="286" ht="14.25" customHeight="1">
      <c r="B286" s="4" t="s">
        <v>318</v>
      </c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6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</row>
    <row r="287" ht="15.75" customHeight="1">
      <c r="B287" s="169" t="s">
        <v>2</v>
      </c>
      <c r="C287" s="8"/>
      <c r="D287" s="8"/>
      <c r="E287" s="8"/>
      <c r="F287" s="8"/>
      <c r="G287" s="8"/>
      <c r="H287" s="8"/>
      <c r="I287" s="324"/>
      <c r="J287" s="171" t="s">
        <v>3</v>
      </c>
      <c r="K287" s="11"/>
      <c r="L287" s="11"/>
      <c r="M287" s="11"/>
      <c r="N287" s="11"/>
      <c r="O287" s="11"/>
      <c r="P287" s="11"/>
      <c r="Q287" s="11"/>
      <c r="R287" s="12"/>
      <c r="S287" s="171" t="s">
        <v>4</v>
      </c>
      <c r="T287" s="11"/>
      <c r="U287" s="11"/>
      <c r="V287" s="11"/>
      <c r="W287" s="11"/>
      <c r="X287" s="11"/>
      <c r="Y287" s="12"/>
    </row>
    <row r="288" ht="14.25" customHeight="1">
      <c r="B288" s="13"/>
      <c r="I288" s="92"/>
      <c r="J288" s="172" t="s">
        <v>5</v>
      </c>
      <c r="K288" s="173" t="s">
        <v>62</v>
      </c>
      <c r="L288" s="17"/>
      <c r="M288" s="17"/>
      <c r="N288" s="18"/>
      <c r="O288" s="173" t="s">
        <v>63</v>
      </c>
      <c r="P288" s="17"/>
      <c r="Q288" s="17"/>
      <c r="R288" s="18"/>
      <c r="S288" s="173" t="s">
        <v>64</v>
      </c>
      <c r="T288" s="17"/>
      <c r="U288" s="18"/>
      <c r="V288" s="173" t="s">
        <v>9</v>
      </c>
      <c r="W288" s="17"/>
      <c r="X288" s="17"/>
      <c r="Y288" s="18"/>
    </row>
    <row r="289" ht="14.25" customHeight="1">
      <c r="B289" s="19"/>
      <c r="C289" s="20"/>
      <c r="D289" s="20"/>
      <c r="E289" s="20"/>
      <c r="F289" s="20"/>
      <c r="G289" s="20"/>
      <c r="H289" s="20"/>
      <c r="I289" s="21"/>
      <c r="J289" s="22"/>
      <c r="K289" s="174" t="s">
        <v>10</v>
      </c>
      <c r="L289" s="174" t="s">
        <v>11</v>
      </c>
      <c r="M289" s="174" t="s">
        <v>12</v>
      </c>
      <c r="N289" s="174" t="s">
        <v>13</v>
      </c>
      <c r="O289" s="174" t="s">
        <v>10</v>
      </c>
      <c r="P289" s="174" t="s">
        <v>11</v>
      </c>
      <c r="Q289" s="174" t="s">
        <v>12</v>
      </c>
      <c r="R289" s="174" t="s">
        <v>13</v>
      </c>
      <c r="S289" s="174" t="s">
        <v>10</v>
      </c>
      <c r="T289" s="174" t="s">
        <v>11</v>
      </c>
      <c r="U289" s="174" t="s">
        <v>12</v>
      </c>
      <c r="V289" s="174" t="s">
        <v>10</v>
      </c>
      <c r="W289" s="174" t="s">
        <v>11</v>
      </c>
      <c r="X289" s="174" t="s">
        <v>12</v>
      </c>
      <c r="Y289" s="174" t="s">
        <v>13</v>
      </c>
    </row>
    <row r="290" ht="14.25" customHeight="1">
      <c r="B290" s="176">
        <v>-1.0</v>
      </c>
      <c r="C290" s="27"/>
      <c r="D290" s="27"/>
      <c r="E290" s="27"/>
      <c r="F290" s="27"/>
      <c r="G290" s="27"/>
      <c r="H290" s="27"/>
      <c r="I290" s="325"/>
      <c r="J290" s="177">
        <v>-2.0</v>
      </c>
      <c r="K290" s="177">
        <v>-3.0</v>
      </c>
      <c r="L290" s="177">
        <v>-4.0</v>
      </c>
      <c r="M290" s="177">
        <v>-5.0</v>
      </c>
      <c r="N290" s="177">
        <v>-6.0</v>
      </c>
      <c r="O290" s="177">
        <v>-7.0</v>
      </c>
      <c r="P290" s="177">
        <v>-8.0</v>
      </c>
      <c r="Q290" s="177">
        <v>-9.0</v>
      </c>
      <c r="R290" s="177">
        <v>-10.0</v>
      </c>
      <c r="S290" s="177">
        <v>-11.0</v>
      </c>
      <c r="T290" s="177">
        <v>-12.0</v>
      </c>
      <c r="U290" s="177">
        <v>-13.0</v>
      </c>
      <c r="V290" s="177">
        <v>-14.0</v>
      </c>
      <c r="W290" s="177">
        <v>-15.0</v>
      </c>
      <c r="X290" s="177">
        <v>-16.0</v>
      </c>
      <c r="Y290" s="177">
        <v>-17.0</v>
      </c>
    </row>
    <row r="291" ht="14.25" customHeight="1">
      <c r="B291" s="35"/>
      <c r="C291" s="35"/>
      <c r="D291" s="35"/>
      <c r="E291" s="35"/>
      <c r="F291" s="35"/>
      <c r="G291" s="35"/>
      <c r="H291" s="35"/>
      <c r="I291" s="35"/>
      <c r="J291" s="35"/>
      <c r="K291" s="35"/>
      <c r="L291" s="35"/>
      <c r="M291" s="35"/>
      <c r="N291" s="35"/>
      <c r="O291" s="35"/>
      <c r="P291" s="35"/>
      <c r="Q291" s="35"/>
      <c r="R291" s="35"/>
      <c r="S291" s="35"/>
      <c r="T291" s="35"/>
      <c r="U291" s="35"/>
      <c r="V291" s="35"/>
      <c r="W291" s="35"/>
      <c r="X291" s="35"/>
      <c r="Y291" s="35"/>
    </row>
    <row r="292" ht="14.25" customHeight="1">
      <c r="B292" s="39" t="s">
        <v>319</v>
      </c>
      <c r="C292" s="39"/>
      <c r="D292" s="77"/>
      <c r="E292" s="77"/>
      <c r="F292" s="77"/>
      <c r="G292" s="77"/>
      <c r="H292" s="77"/>
      <c r="I292" s="159"/>
      <c r="J292" s="103" t="s">
        <v>85</v>
      </c>
      <c r="K292" s="39">
        <f t="shared" ref="K292:R292" si="270">SUM(K293:K294)</f>
        <v>0</v>
      </c>
      <c r="L292" s="39">
        <f t="shared" si="270"/>
        <v>3</v>
      </c>
      <c r="M292" s="60">
        <f t="shared" si="270"/>
        <v>6</v>
      </c>
      <c r="N292" s="178">
        <f t="shared" si="270"/>
        <v>8</v>
      </c>
      <c r="O292" s="62">
        <f t="shared" si="270"/>
        <v>0</v>
      </c>
      <c r="P292" s="39">
        <f t="shared" si="270"/>
        <v>3</v>
      </c>
      <c r="Q292" s="39">
        <f t="shared" si="270"/>
        <v>6</v>
      </c>
      <c r="R292" s="39">
        <f t="shared" si="270"/>
        <v>8</v>
      </c>
      <c r="S292" s="46">
        <f t="shared" ref="S292:U292" si="271">IF(K292=0,0,IF((O292/K292*100)&gt;120,120,O292/K292*100))</f>
        <v>0</v>
      </c>
      <c r="T292" s="46">
        <f t="shared" si="271"/>
        <v>100</v>
      </c>
      <c r="U292" s="46">
        <f t="shared" si="271"/>
        <v>100</v>
      </c>
      <c r="V292" s="46">
        <f t="shared" ref="V292:Y292" si="272">IF($N292=0,0,IF((O292/$N292*100)&gt;120,120,O292/$N292*100))</f>
        <v>0</v>
      </c>
      <c r="W292" s="46">
        <f t="shared" si="272"/>
        <v>37.5</v>
      </c>
      <c r="X292" s="46">
        <f t="shared" si="272"/>
        <v>75</v>
      </c>
      <c r="Y292" s="46">
        <f t="shared" si="272"/>
        <v>100</v>
      </c>
    </row>
    <row r="293" ht="14.25" customHeight="1">
      <c r="B293" s="39"/>
      <c r="C293" s="109" t="s">
        <v>320</v>
      </c>
      <c r="D293" s="77"/>
      <c r="E293" s="77"/>
      <c r="F293" s="77"/>
      <c r="G293" s="77"/>
      <c r="H293" s="77"/>
      <c r="I293" s="159"/>
      <c r="J293" s="110" t="s">
        <v>87</v>
      </c>
      <c r="K293" s="42">
        <v>0.0</v>
      </c>
      <c r="L293" s="42">
        <v>3.0</v>
      </c>
      <c r="M293" s="42">
        <v>6.0</v>
      </c>
      <c r="N293" s="42">
        <v>7.0</v>
      </c>
      <c r="O293" s="42">
        <v>0.0</v>
      </c>
      <c r="P293" s="42">
        <v>3.0</v>
      </c>
      <c r="Q293" s="42">
        <v>6.0</v>
      </c>
      <c r="R293" s="42">
        <v>7.0</v>
      </c>
      <c r="S293" s="46">
        <f t="shared" ref="S293:U293" si="273">IF(K293=0,0,IF((O293/K293*100)&gt;120,120,O293/K293*100))</f>
        <v>0</v>
      </c>
      <c r="T293" s="46">
        <f t="shared" si="273"/>
        <v>100</v>
      </c>
      <c r="U293" s="46">
        <f t="shared" si="273"/>
        <v>100</v>
      </c>
      <c r="V293" s="46">
        <f t="shared" ref="V293:Y293" si="274">IF($N293=0,0,IF((O293/$N293*100)&gt;120,120,O293/$N293*100))</f>
        <v>0</v>
      </c>
      <c r="W293" s="46">
        <f t="shared" si="274"/>
        <v>42.85714286</v>
      </c>
      <c r="X293" s="46">
        <f t="shared" si="274"/>
        <v>85.71428571</v>
      </c>
      <c r="Y293" s="46">
        <f t="shared" si="274"/>
        <v>100</v>
      </c>
    </row>
    <row r="294" ht="14.25" customHeight="1">
      <c r="B294" s="39"/>
      <c r="C294" s="109" t="s">
        <v>321</v>
      </c>
      <c r="D294" s="77"/>
      <c r="E294" s="77"/>
      <c r="F294" s="77"/>
      <c r="G294" s="77"/>
      <c r="H294" s="77"/>
      <c r="I294" s="159"/>
      <c r="J294" s="110" t="s">
        <v>66</v>
      </c>
      <c r="K294" s="42">
        <v>0.0</v>
      </c>
      <c r="L294" s="42">
        <v>0.0</v>
      </c>
      <c r="M294" s="42">
        <v>0.0</v>
      </c>
      <c r="N294" s="42">
        <v>1.0</v>
      </c>
      <c r="O294" s="42">
        <v>0.0</v>
      </c>
      <c r="P294" s="42">
        <v>0.0</v>
      </c>
      <c r="Q294" s="42">
        <v>0.0</v>
      </c>
      <c r="R294" s="42">
        <v>1.0</v>
      </c>
      <c r="S294" s="46">
        <f t="shared" ref="S294:U294" si="275">IF(K294=0,0,IF((O294/K294*100)&gt;120,120,O294/K294*100))</f>
        <v>0</v>
      </c>
      <c r="T294" s="46">
        <f t="shared" si="275"/>
        <v>0</v>
      </c>
      <c r="U294" s="46">
        <f t="shared" si="275"/>
        <v>0</v>
      </c>
      <c r="V294" s="46">
        <f t="shared" ref="V294:Y294" si="276">IF($N294=0,0,IF((O294/$N294*100)&gt;120,120,O294/$N294*100))</f>
        <v>0</v>
      </c>
      <c r="W294" s="46">
        <f t="shared" si="276"/>
        <v>0</v>
      </c>
      <c r="X294" s="46">
        <f t="shared" si="276"/>
        <v>0</v>
      </c>
      <c r="Y294" s="46">
        <f t="shared" si="276"/>
        <v>100</v>
      </c>
    </row>
    <row r="295" ht="14.25" customHeight="1">
      <c r="B295" s="39" t="s">
        <v>322</v>
      </c>
      <c r="C295" s="39"/>
      <c r="D295" s="77"/>
      <c r="E295" s="77"/>
      <c r="F295" s="77"/>
      <c r="G295" s="77"/>
      <c r="H295" s="77"/>
      <c r="I295" s="159"/>
      <c r="J295" s="103" t="s">
        <v>85</v>
      </c>
      <c r="K295" s="39">
        <f t="shared" ref="K295:R295" si="277">SUM(K296:K297)</f>
        <v>0</v>
      </c>
      <c r="L295" s="39">
        <f t="shared" si="277"/>
        <v>3</v>
      </c>
      <c r="M295" s="60">
        <f t="shared" si="277"/>
        <v>6</v>
      </c>
      <c r="N295" s="178">
        <f t="shared" si="277"/>
        <v>8</v>
      </c>
      <c r="O295" s="62">
        <f t="shared" si="277"/>
        <v>0</v>
      </c>
      <c r="P295" s="39">
        <f t="shared" si="277"/>
        <v>3</v>
      </c>
      <c r="Q295" s="39">
        <f t="shared" si="277"/>
        <v>6</v>
      </c>
      <c r="R295" s="39">
        <f t="shared" si="277"/>
        <v>8</v>
      </c>
      <c r="S295" s="46">
        <f t="shared" ref="S295:U295" si="278">IF(K295=0,0,IF((O295/K295*100)&gt;120,120,O295/K295*100))</f>
        <v>0</v>
      </c>
      <c r="T295" s="46">
        <f t="shared" si="278"/>
        <v>100</v>
      </c>
      <c r="U295" s="46">
        <f t="shared" si="278"/>
        <v>100</v>
      </c>
      <c r="V295" s="46">
        <f t="shared" ref="V295:Y295" si="279">IF($N295=0,0,IF((O295/$N295*100)&gt;120,120,O295/$N295*100))</f>
        <v>0</v>
      </c>
      <c r="W295" s="46">
        <f t="shared" si="279"/>
        <v>37.5</v>
      </c>
      <c r="X295" s="46">
        <f t="shared" si="279"/>
        <v>75</v>
      </c>
      <c r="Y295" s="46">
        <f t="shared" si="279"/>
        <v>100</v>
      </c>
    </row>
    <row r="296" ht="14.25" customHeight="1">
      <c r="B296" s="39"/>
      <c r="C296" s="109" t="s">
        <v>323</v>
      </c>
      <c r="D296" s="77"/>
      <c r="E296" s="77"/>
      <c r="F296" s="77"/>
      <c r="G296" s="77"/>
      <c r="H296" s="77"/>
      <c r="I296" s="159"/>
      <c r="J296" s="110" t="s">
        <v>87</v>
      </c>
      <c r="K296" s="42">
        <v>0.0</v>
      </c>
      <c r="L296" s="42">
        <v>3.0</v>
      </c>
      <c r="M296" s="42">
        <v>6.0</v>
      </c>
      <c r="N296" s="42">
        <v>7.0</v>
      </c>
      <c r="O296" s="42">
        <v>0.0</v>
      </c>
      <c r="P296" s="42">
        <v>3.0</v>
      </c>
      <c r="Q296" s="42">
        <v>6.0</v>
      </c>
      <c r="R296" s="42">
        <v>7.0</v>
      </c>
      <c r="S296" s="46">
        <f t="shared" ref="S296:U296" si="280">IF(K296=0,0,IF((O296/K296*100)&gt;120,120,O296/K296*100))</f>
        <v>0</v>
      </c>
      <c r="T296" s="46">
        <f t="shared" si="280"/>
        <v>100</v>
      </c>
      <c r="U296" s="46">
        <f t="shared" si="280"/>
        <v>100</v>
      </c>
      <c r="V296" s="46">
        <f t="shared" ref="V296:Y296" si="281">IF($N296=0,0,IF((O296/$N296*100)&gt;120,120,O296/$N296*100))</f>
        <v>0</v>
      </c>
      <c r="W296" s="46">
        <f t="shared" si="281"/>
        <v>42.85714286</v>
      </c>
      <c r="X296" s="46">
        <f t="shared" si="281"/>
        <v>85.71428571</v>
      </c>
      <c r="Y296" s="46">
        <f t="shared" si="281"/>
        <v>100</v>
      </c>
    </row>
    <row r="297" ht="14.25" customHeight="1">
      <c r="B297" s="39"/>
      <c r="C297" s="109" t="s">
        <v>324</v>
      </c>
      <c r="D297" s="77"/>
      <c r="E297" s="77"/>
      <c r="F297" s="77"/>
      <c r="G297" s="77"/>
      <c r="H297" s="77"/>
      <c r="I297" s="159"/>
      <c r="J297" s="110" t="s">
        <v>66</v>
      </c>
      <c r="K297" s="42">
        <v>0.0</v>
      </c>
      <c r="L297" s="42">
        <v>0.0</v>
      </c>
      <c r="M297" s="42">
        <v>0.0</v>
      </c>
      <c r="N297" s="42">
        <v>1.0</v>
      </c>
      <c r="O297" s="42">
        <v>0.0</v>
      </c>
      <c r="P297" s="42">
        <v>0.0</v>
      </c>
      <c r="Q297" s="42">
        <v>0.0</v>
      </c>
      <c r="R297" s="42">
        <v>1.0</v>
      </c>
      <c r="S297" s="46">
        <f t="shared" ref="S297:U297" si="282">IF(K297=0,0,IF((O297/K297*100)&gt;120,120,O297/K297*100))</f>
        <v>0</v>
      </c>
      <c r="T297" s="46">
        <f t="shared" si="282"/>
        <v>0</v>
      </c>
      <c r="U297" s="46">
        <f t="shared" si="282"/>
        <v>0</v>
      </c>
      <c r="V297" s="46">
        <f t="shared" ref="V297:Y297" si="283">IF($N297=0,0,IF((O297/$N297*100)&gt;120,120,O297/$N297*100))</f>
        <v>0</v>
      </c>
      <c r="W297" s="46">
        <f t="shared" si="283"/>
        <v>0</v>
      </c>
      <c r="X297" s="46">
        <f t="shared" si="283"/>
        <v>0</v>
      </c>
      <c r="Y297" s="46">
        <f t="shared" si="283"/>
        <v>100</v>
      </c>
    </row>
    <row r="298" ht="14.25" customHeight="1">
      <c r="B298" s="39" t="s">
        <v>325</v>
      </c>
      <c r="C298" s="39"/>
      <c r="D298" s="77"/>
      <c r="E298" s="77"/>
      <c r="F298" s="77"/>
      <c r="G298" s="77"/>
      <c r="H298" s="77"/>
      <c r="I298" s="159"/>
      <c r="J298" s="103" t="s">
        <v>87</v>
      </c>
      <c r="K298" s="42">
        <v>0.0</v>
      </c>
      <c r="L298" s="42">
        <v>1.0</v>
      </c>
      <c r="M298" s="42">
        <v>3.0</v>
      </c>
      <c r="N298" s="42">
        <v>3.0</v>
      </c>
      <c r="O298" s="42">
        <v>0.0</v>
      </c>
      <c r="P298" s="42">
        <v>1.0</v>
      </c>
      <c r="Q298" s="42">
        <v>3.0</v>
      </c>
      <c r="R298" s="42">
        <v>3.0</v>
      </c>
      <c r="S298" s="46">
        <f t="shared" ref="S298:U298" si="284">IF(K298=0,0,IF((O298/K298*100)&gt;120,120,O298/K298*100))</f>
        <v>0</v>
      </c>
      <c r="T298" s="46">
        <f t="shared" si="284"/>
        <v>100</v>
      </c>
      <c r="U298" s="46">
        <f t="shared" si="284"/>
        <v>100</v>
      </c>
      <c r="V298" s="46">
        <f t="shared" ref="V298:Y298" si="285">IF($N298=0,0,IF((O298/$N298*100)&gt;120,120,O298/$N298*100))</f>
        <v>0</v>
      </c>
      <c r="W298" s="46">
        <f t="shared" si="285"/>
        <v>33.33333333</v>
      </c>
      <c r="X298" s="46">
        <f t="shared" si="285"/>
        <v>100</v>
      </c>
      <c r="Y298" s="46">
        <f t="shared" si="285"/>
        <v>100</v>
      </c>
    </row>
    <row r="299" ht="14.25" customHeight="1">
      <c r="B299" s="39" t="s">
        <v>326</v>
      </c>
      <c r="C299" s="39"/>
      <c r="D299" s="77"/>
      <c r="E299" s="77"/>
      <c r="F299" s="77"/>
      <c r="G299" s="77"/>
      <c r="H299" s="77"/>
      <c r="I299" s="159"/>
      <c r="J299" s="103" t="s">
        <v>95</v>
      </c>
      <c r="K299" s="42">
        <v>3.0</v>
      </c>
      <c r="L299" s="42">
        <v>6.0</v>
      </c>
      <c r="M299" s="42">
        <v>9.0</v>
      </c>
      <c r="N299" s="42">
        <v>12.0</v>
      </c>
      <c r="O299" s="42">
        <v>3.0</v>
      </c>
      <c r="P299" s="42">
        <v>6.0</v>
      </c>
      <c r="Q299" s="42">
        <v>9.0</v>
      </c>
      <c r="R299" s="42">
        <v>12.0</v>
      </c>
      <c r="S299" s="46">
        <f t="shared" ref="S299:U299" si="286">IF(K299=0,0,IF((O299/K299*100)&gt;120,120,O299/K299*100))</f>
        <v>100</v>
      </c>
      <c r="T299" s="46">
        <f t="shared" si="286"/>
        <v>100</v>
      </c>
      <c r="U299" s="46">
        <f t="shared" si="286"/>
        <v>100</v>
      </c>
      <c r="V299" s="46">
        <f t="shared" ref="V299:Y299" si="287">IF($N299=0,0,IF((O299/$N299*100)&gt;120,120,O299/$N299*100))</f>
        <v>25</v>
      </c>
      <c r="W299" s="46">
        <f t="shared" si="287"/>
        <v>50</v>
      </c>
      <c r="X299" s="46">
        <f t="shared" si="287"/>
        <v>75</v>
      </c>
      <c r="Y299" s="46">
        <f t="shared" si="287"/>
        <v>100</v>
      </c>
    </row>
    <row r="300" ht="14.25" customHeight="1">
      <c r="B300" s="39" t="s">
        <v>327</v>
      </c>
      <c r="C300" s="39"/>
      <c r="D300" s="77"/>
      <c r="E300" s="77"/>
      <c r="F300" s="77"/>
      <c r="G300" s="77"/>
      <c r="H300" s="77"/>
      <c r="I300" s="159"/>
      <c r="J300" s="103" t="s">
        <v>35</v>
      </c>
      <c r="K300" s="254">
        <f t="shared" ref="K300:R300" si="288">IF($I301+$I304+$I313=0,0,AVERAGE(IF($I301&gt;0,K301/$I301*100,0),IF($I304&gt;0,K304/$I304*100,0),IF($I313&gt;0,K313/$I313*100,0)))</f>
        <v>14.94623656</v>
      </c>
      <c r="L300" s="254">
        <f t="shared" si="288"/>
        <v>50.64516129</v>
      </c>
      <c r="M300" s="336">
        <f t="shared" si="288"/>
        <v>76.27240143</v>
      </c>
      <c r="N300" s="337">
        <f t="shared" si="288"/>
        <v>100</v>
      </c>
      <c r="O300" s="338">
        <f t="shared" si="288"/>
        <v>14.54301075</v>
      </c>
      <c r="P300" s="254">
        <f t="shared" si="288"/>
        <v>50.46594982</v>
      </c>
      <c r="Q300" s="254">
        <f t="shared" si="288"/>
        <v>74.81182796</v>
      </c>
      <c r="R300" s="254">
        <f t="shared" si="288"/>
        <v>98.70967742</v>
      </c>
      <c r="S300" s="46">
        <f t="shared" ref="S300:U300" si="289">IF(K300=0,0,IF((O300/K300*100)&gt;120,120,O300/K300*100))</f>
        <v>97.30215827</v>
      </c>
      <c r="T300" s="46">
        <f t="shared" si="289"/>
        <v>99.64614296</v>
      </c>
      <c r="U300" s="46">
        <f t="shared" si="289"/>
        <v>98.08505639</v>
      </c>
      <c r="V300" s="46">
        <f t="shared" ref="V300:Y300" si="290">IF($N300=0,0,IF((O300/$N300*100)&gt;120,120,O300/$N300*100))</f>
        <v>14.54301075</v>
      </c>
      <c r="W300" s="46">
        <f t="shared" si="290"/>
        <v>50.46594982</v>
      </c>
      <c r="X300" s="46">
        <f t="shared" si="290"/>
        <v>74.81182796</v>
      </c>
      <c r="Y300" s="46">
        <f t="shared" si="290"/>
        <v>98.70967742</v>
      </c>
    </row>
    <row r="301" ht="14.25" customHeight="1">
      <c r="B301" s="39"/>
      <c r="C301" s="109" t="s">
        <v>328</v>
      </c>
      <c r="D301" s="339"/>
      <c r="E301" s="77"/>
      <c r="F301" s="77"/>
      <c r="G301" s="77"/>
      <c r="H301" s="77"/>
      <c r="I301" s="42">
        <f>SUM(I302:I303)</f>
        <v>3012</v>
      </c>
      <c r="J301" s="110" t="s">
        <v>98</v>
      </c>
      <c r="K301" s="42">
        <f t="shared" ref="K301:R301" si="291">SUM(K302:K303)</f>
        <v>753</v>
      </c>
      <c r="L301" s="42">
        <f t="shared" si="291"/>
        <v>1506</v>
      </c>
      <c r="M301" s="42">
        <f t="shared" si="291"/>
        <v>2259</v>
      </c>
      <c r="N301" s="42">
        <f t="shared" si="291"/>
        <v>3012</v>
      </c>
      <c r="O301" s="42">
        <f t="shared" si="291"/>
        <v>753</v>
      </c>
      <c r="P301" s="42">
        <f t="shared" si="291"/>
        <v>1506</v>
      </c>
      <c r="Q301" s="42">
        <f t="shared" si="291"/>
        <v>2259</v>
      </c>
      <c r="R301" s="42">
        <f t="shared" si="291"/>
        <v>3012</v>
      </c>
      <c r="S301" s="111"/>
      <c r="T301" s="111"/>
      <c r="U301" s="111"/>
      <c r="V301" s="111"/>
      <c r="W301" s="111"/>
      <c r="X301" s="111"/>
      <c r="Y301" s="111"/>
    </row>
    <row r="302" ht="14.25" customHeight="1">
      <c r="B302" s="39"/>
      <c r="C302" s="340"/>
      <c r="D302" s="5" t="s">
        <v>329</v>
      </c>
      <c r="E302" s="341"/>
      <c r="F302" s="77"/>
      <c r="G302" s="77"/>
      <c r="H302" s="77"/>
      <c r="I302" s="42">
        <v>360.0</v>
      </c>
      <c r="J302" s="110" t="s">
        <v>98</v>
      </c>
      <c r="K302" s="42">
        <v>90.0</v>
      </c>
      <c r="L302" s="42">
        <v>180.0</v>
      </c>
      <c r="M302" s="42">
        <v>270.0</v>
      </c>
      <c r="N302" s="42">
        <v>360.0</v>
      </c>
      <c r="O302" s="42">
        <v>90.0</v>
      </c>
      <c r="P302" s="42">
        <v>180.0</v>
      </c>
      <c r="Q302" s="42">
        <v>270.0</v>
      </c>
      <c r="R302" s="42">
        <v>360.0</v>
      </c>
      <c r="S302" s="111"/>
      <c r="T302" s="111"/>
      <c r="U302" s="111"/>
      <c r="V302" s="111"/>
      <c r="W302" s="111"/>
      <c r="X302" s="111"/>
      <c r="Y302" s="111"/>
    </row>
    <row r="303" ht="14.25" customHeight="1">
      <c r="B303" s="39"/>
      <c r="C303" s="340"/>
      <c r="D303" s="5" t="s">
        <v>330</v>
      </c>
      <c r="E303" s="341"/>
      <c r="F303" s="77"/>
      <c r="G303" s="77"/>
      <c r="H303" s="77"/>
      <c r="I303" s="42">
        <v>2652.0</v>
      </c>
      <c r="J303" s="110" t="s">
        <v>98</v>
      </c>
      <c r="K303" s="42">
        <f>I303/4</f>
        <v>663</v>
      </c>
      <c r="L303" s="42">
        <f>I303/2</f>
        <v>1326</v>
      </c>
      <c r="M303" s="42">
        <f>I303*3/4</f>
        <v>1989</v>
      </c>
      <c r="N303" s="42">
        <f>I303</f>
        <v>2652</v>
      </c>
      <c r="O303" s="42">
        <v>663.0</v>
      </c>
      <c r="P303" s="42">
        <v>1326.0</v>
      </c>
      <c r="Q303" s="42">
        <v>1989.0</v>
      </c>
      <c r="R303" s="42">
        <v>2652.0</v>
      </c>
      <c r="S303" s="111"/>
      <c r="T303" s="111"/>
      <c r="U303" s="111"/>
      <c r="V303" s="111"/>
      <c r="W303" s="111"/>
      <c r="X303" s="111"/>
      <c r="Y303" s="111"/>
    </row>
    <row r="304" ht="14.25" customHeight="1">
      <c r="B304" s="39"/>
      <c r="C304" s="109" t="s">
        <v>331</v>
      </c>
      <c r="D304" s="339"/>
      <c r="E304" s="77"/>
      <c r="F304" s="77"/>
      <c r="G304" s="77"/>
      <c r="H304" s="77"/>
      <c r="I304" s="42">
        <f>SUM(I305:I312)</f>
        <v>1240</v>
      </c>
      <c r="J304" s="110" t="s">
        <v>98</v>
      </c>
      <c r="K304" s="42">
        <f>SUM(K305:K308)</f>
        <v>246</v>
      </c>
      <c r="L304" s="42">
        <f t="shared" ref="L304:R304" si="292">SUM(L305:L312)</f>
        <v>624</v>
      </c>
      <c r="M304" s="42">
        <f t="shared" si="292"/>
        <v>934</v>
      </c>
      <c r="N304" s="42">
        <f t="shared" si="292"/>
        <v>1240</v>
      </c>
      <c r="O304" s="42">
        <f t="shared" si="292"/>
        <v>231</v>
      </c>
      <c r="P304" s="42">
        <f t="shared" si="292"/>
        <v>604</v>
      </c>
      <c r="Q304" s="42">
        <f t="shared" si="292"/>
        <v>873</v>
      </c>
      <c r="R304" s="42">
        <f t="shared" si="292"/>
        <v>1192</v>
      </c>
      <c r="S304" s="111"/>
      <c r="T304" s="111"/>
      <c r="U304" s="111"/>
      <c r="V304" s="111"/>
      <c r="W304" s="111"/>
      <c r="X304" s="111"/>
      <c r="Y304" s="111"/>
    </row>
    <row r="305" ht="14.25" customHeight="1">
      <c r="B305" s="39"/>
      <c r="C305" s="340"/>
      <c r="D305" s="5" t="s">
        <v>332</v>
      </c>
      <c r="E305" s="341"/>
      <c r="F305" s="77"/>
      <c r="G305" s="77"/>
      <c r="H305" s="77"/>
      <c r="I305" s="42">
        <f>17*12</f>
        <v>204</v>
      </c>
      <c r="J305" s="110" t="s">
        <v>98</v>
      </c>
      <c r="K305" s="42">
        <f t="shared" ref="K305:K309" si="293">I305/4</f>
        <v>51</v>
      </c>
      <c r="L305" s="42">
        <f t="shared" ref="L305:L309" si="294">I305/2</f>
        <v>102</v>
      </c>
      <c r="M305" s="42">
        <f t="shared" ref="M305:M309" si="295">0.75*I305</f>
        <v>153</v>
      </c>
      <c r="N305" s="42">
        <f t="shared" ref="N305:N309" si="296">I305</f>
        <v>204</v>
      </c>
      <c r="O305" s="42">
        <v>51.0</v>
      </c>
      <c r="P305" s="42">
        <v>102.0</v>
      </c>
      <c r="Q305" s="42">
        <v>153.0</v>
      </c>
      <c r="R305" s="42">
        <v>204.0</v>
      </c>
      <c r="S305" s="111"/>
      <c r="T305" s="111"/>
      <c r="U305" s="111"/>
      <c r="V305" s="111"/>
      <c r="W305" s="111"/>
      <c r="X305" s="111"/>
      <c r="Y305" s="111"/>
    </row>
    <row r="306" ht="14.25" customHeight="1">
      <c r="B306" s="39"/>
      <c r="C306" s="340"/>
      <c r="D306" s="5" t="s">
        <v>333</v>
      </c>
      <c r="E306" s="341"/>
      <c r="F306" s="77"/>
      <c r="G306" s="77"/>
      <c r="H306" s="77"/>
      <c r="I306" s="42">
        <v>528.0</v>
      </c>
      <c r="J306" s="110" t="s">
        <v>98</v>
      </c>
      <c r="K306" s="42">
        <f t="shared" si="293"/>
        <v>132</v>
      </c>
      <c r="L306" s="42">
        <f t="shared" si="294"/>
        <v>264</v>
      </c>
      <c r="M306" s="42">
        <f t="shared" si="295"/>
        <v>396</v>
      </c>
      <c r="N306" s="42">
        <f t="shared" si="296"/>
        <v>528</v>
      </c>
      <c r="O306" s="42">
        <v>105.0</v>
      </c>
      <c r="P306" s="42">
        <v>245.0</v>
      </c>
      <c r="Q306" s="42">
        <v>351.0</v>
      </c>
      <c r="R306" s="42">
        <v>480.0</v>
      </c>
      <c r="S306" s="111"/>
      <c r="T306" s="111"/>
      <c r="U306" s="111"/>
      <c r="V306" s="111"/>
      <c r="W306" s="111"/>
      <c r="X306" s="111"/>
      <c r="Y306" s="111"/>
    </row>
    <row r="307" ht="14.25" customHeight="1">
      <c r="B307" s="39"/>
      <c r="C307" s="340"/>
      <c r="D307" s="5" t="s">
        <v>334</v>
      </c>
      <c r="E307" s="341"/>
      <c r="F307" s="77"/>
      <c r="G307" s="77"/>
      <c r="H307" s="77"/>
      <c r="I307" s="42">
        <v>48.0</v>
      </c>
      <c r="J307" s="110" t="s">
        <v>98</v>
      </c>
      <c r="K307" s="42">
        <f t="shared" si="293"/>
        <v>12</v>
      </c>
      <c r="L307" s="42">
        <f t="shared" si="294"/>
        <v>24</v>
      </c>
      <c r="M307" s="42">
        <f t="shared" si="295"/>
        <v>36</v>
      </c>
      <c r="N307" s="42">
        <f t="shared" si="296"/>
        <v>48</v>
      </c>
      <c r="O307" s="42">
        <v>9.0</v>
      </c>
      <c r="P307" s="42">
        <v>24.0</v>
      </c>
      <c r="Q307" s="42">
        <v>36.0</v>
      </c>
      <c r="R307" s="42">
        <v>48.0</v>
      </c>
      <c r="S307" s="111"/>
      <c r="T307" s="111"/>
      <c r="U307" s="111"/>
      <c r="V307" s="111"/>
      <c r="W307" s="111"/>
      <c r="X307" s="111"/>
      <c r="Y307" s="111"/>
    </row>
    <row r="308" ht="14.25" customHeight="1">
      <c r="B308" s="39"/>
      <c r="C308" s="340"/>
      <c r="D308" s="5" t="s">
        <v>335</v>
      </c>
      <c r="E308" s="341"/>
      <c r="F308" s="77"/>
      <c r="G308" s="77"/>
      <c r="H308" s="77"/>
      <c r="I308" s="42">
        <v>204.0</v>
      </c>
      <c r="J308" s="110" t="s">
        <v>98</v>
      </c>
      <c r="K308" s="42">
        <f t="shared" si="293"/>
        <v>51</v>
      </c>
      <c r="L308" s="42">
        <f t="shared" si="294"/>
        <v>102</v>
      </c>
      <c r="M308" s="42">
        <f t="shared" si="295"/>
        <v>153</v>
      </c>
      <c r="N308" s="42">
        <f t="shared" si="296"/>
        <v>204</v>
      </c>
      <c r="O308" s="42">
        <v>39.0</v>
      </c>
      <c r="P308" s="42">
        <v>102.0</v>
      </c>
      <c r="Q308" s="42">
        <v>153.0</v>
      </c>
      <c r="R308" s="42">
        <v>204.0</v>
      </c>
      <c r="S308" s="111"/>
      <c r="T308" s="111"/>
      <c r="U308" s="111"/>
      <c r="V308" s="111"/>
      <c r="W308" s="111"/>
      <c r="X308" s="111"/>
      <c r="Y308" s="111"/>
    </row>
    <row r="309" ht="14.25" customHeight="1">
      <c r="B309" s="39"/>
      <c r="C309" s="340"/>
      <c r="D309" s="5" t="s">
        <v>336</v>
      </c>
      <c r="E309" s="341"/>
      <c r="F309" s="77"/>
      <c r="G309" s="77"/>
      <c r="H309" s="77"/>
      <c r="I309" s="42">
        <v>120.0</v>
      </c>
      <c r="J309" s="110" t="s">
        <v>98</v>
      </c>
      <c r="K309" s="42">
        <f t="shared" si="293"/>
        <v>30</v>
      </c>
      <c r="L309" s="42">
        <f t="shared" si="294"/>
        <v>60</v>
      </c>
      <c r="M309" s="42">
        <f t="shared" si="295"/>
        <v>90</v>
      </c>
      <c r="N309" s="42">
        <f t="shared" si="296"/>
        <v>120</v>
      </c>
      <c r="O309" s="42">
        <v>27.0</v>
      </c>
      <c r="P309" s="42">
        <v>54.0</v>
      </c>
      <c r="Q309" s="42">
        <v>72.0</v>
      </c>
      <c r="R309" s="42">
        <v>120.0</v>
      </c>
      <c r="S309" s="111"/>
      <c r="T309" s="111"/>
      <c r="U309" s="111"/>
      <c r="V309" s="111"/>
      <c r="W309" s="111"/>
      <c r="X309" s="111"/>
      <c r="Y309" s="111"/>
    </row>
    <row r="310" ht="14.25" customHeight="1">
      <c r="B310" s="39"/>
      <c r="C310" s="340"/>
      <c r="D310" s="5" t="s">
        <v>337</v>
      </c>
      <c r="E310" s="341"/>
      <c r="F310" s="77"/>
      <c r="G310" s="77"/>
      <c r="H310" s="77"/>
      <c r="I310" s="42">
        <v>2.0</v>
      </c>
      <c r="J310" s="110" t="s">
        <v>98</v>
      </c>
      <c r="K310" s="42">
        <v>0.0</v>
      </c>
      <c r="L310" s="42">
        <v>1.0</v>
      </c>
      <c r="M310" s="42">
        <v>2.0</v>
      </c>
      <c r="N310" s="42">
        <v>2.0</v>
      </c>
      <c r="O310" s="42">
        <v>0.0</v>
      </c>
      <c r="P310" s="42">
        <v>1.0</v>
      </c>
      <c r="Q310" s="42">
        <v>2.0</v>
      </c>
      <c r="R310" s="42">
        <v>2.0</v>
      </c>
      <c r="S310" s="111"/>
      <c r="T310" s="111"/>
      <c r="U310" s="111"/>
      <c r="V310" s="111"/>
      <c r="W310" s="111"/>
      <c r="X310" s="111"/>
      <c r="Y310" s="111"/>
    </row>
    <row r="311" ht="14.25" customHeight="1">
      <c r="B311" s="39"/>
      <c r="C311" s="340"/>
      <c r="D311" s="5" t="s">
        <v>338</v>
      </c>
      <c r="E311" s="341"/>
      <c r="F311" s="77"/>
      <c r="G311" s="77"/>
      <c r="H311" s="77"/>
      <c r="I311" s="42">
        <v>123.0</v>
      </c>
      <c r="J311" s="110" t="s">
        <v>98</v>
      </c>
      <c r="K311" s="42">
        <v>0.0</v>
      </c>
      <c r="L311" s="42">
        <v>63.0</v>
      </c>
      <c r="M311" s="42">
        <v>93.0</v>
      </c>
      <c r="N311" s="42">
        <v>123.0</v>
      </c>
      <c r="O311" s="42">
        <v>0.0</v>
      </c>
      <c r="P311" s="42">
        <v>68.0</v>
      </c>
      <c r="Q311" s="42">
        <v>95.0</v>
      </c>
      <c r="R311" s="42">
        <v>123.0</v>
      </c>
      <c r="S311" s="111"/>
      <c r="T311" s="111"/>
      <c r="U311" s="111"/>
      <c r="V311" s="111"/>
      <c r="W311" s="111"/>
      <c r="X311" s="111"/>
      <c r="Y311" s="111"/>
    </row>
    <row r="312" ht="14.25" customHeight="1">
      <c r="B312" s="39"/>
      <c r="C312" s="340"/>
      <c r="D312" s="5" t="s">
        <v>339</v>
      </c>
      <c r="E312" s="341"/>
      <c r="F312" s="77"/>
      <c r="G312" s="77"/>
      <c r="H312" s="77"/>
      <c r="I312" s="42">
        <v>11.0</v>
      </c>
      <c r="J312" s="110" t="s">
        <v>98</v>
      </c>
      <c r="K312" s="42">
        <v>0.0</v>
      </c>
      <c r="L312" s="42">
        <v>8.0</v>
      </c>
      <c r="M312" s="42">
        <v>11.0</v>
      </c>
      <c r="N312" s="42">
        <v>11.0</v>
      </c>
      <c r="O312" s="42">
        <v>0.0</v>
      </c>
      <c r="P312" s="42">
        <v>8.0</v>
      </c>
      <c r="Q312" s="42">
        <v>11.0</v>
      </c>
      <c r="R312" s="42">
        <v>11.0</v>
      </c>
      <c r="S312" s="111"/>
      <c r="T312" s="111"/>
      <c r="U312" s="111"/>
      <c r="V312" s="111"/>
      <c r="W312" s="111"/>
      <c r="X312" s="111"/>
      <c r="Y312" s="111"/>
    </row>
    <row r="313" ht="14.25" customHeight="1">
      <c r="B313" s="39"/>
      <c r="C313" s="109" t="s">
        <v>340</v>
      </c>
      <c r="D313" s="339"/>
      <c r="E313" s="77"/>
      <c r="F313" s="77"/>
      <c r="G313" s="77"/>
      <c r="H313" s="77"/>
      <c r="I313" s="42">
        <f>SUM(I314:I315)</f>
        <v>186</v>
      </c>
      <c r="J313" s="110" t="s">
        <v>98</v>
      </c>
      <c r="K313" s="42">
        <f t="shared" ref="K313:R313" si="297">SUM(K314:K315)</f>
        <v>0</v>
      </c>
      <c r="L313" s="42">
        <f t="shared" si="297"/>
        <v>96</v>
      </c>
      <c r="M313" s="42">
        <f t="shared" si="297"/>
        <v>146</v>
      </c>
      <c r="N313" s="42">
        <f t="shared" si="297"/>
        <v>186</v>
      </c>
      <c r="O313" s="42">
        <f t="shared" si="297"/>
        <v>0</v>
      </c>
      <c r="P313" s="42">
        <f t="shared" si="297"/>
        <v>98</v>
      </c>
      <c r="Q313" s="42">
        <f t="shared" si="297"/>
        <v>147</v>
      </c>
      <c r="R313" s="42">
        <f t="shared" si="297"/>
        <v>186</v>
      </c>
      <c r="S313" s="111"/>
      <c r="T313" s="111"/>
      <c r="U313" s="111"/>
      <c r="V313" s="111"/>
      <c r="W313" s="111"/>
      <c r="X313" s="111"/>
      <c r="Y313" s="111"/>
    </row>
    <row r="314" ht="14.25" customHeight="1">
      <c r="B314" s="39"/>
      <c r="C314" s="340"/>
      <c r="D314" s="5" t="s">
        <v>341</v>
      </c>
      <c r="E314" s="341"/>
      <c r="F314" s="77"/>
      <c r="G314" s="77"/>
      <c r="H314" s="77"/>
      <c r="I314" s="42">
        <v>24.0</v>
      </c>
      <c r="J314" s="110" t="s">
        <v>98</v>
      </c>
      <c r="K314" s="42">
        <v>0.0</v>
      </c>
      <c r="L314" s="42">
        <v>16.0</v>
      </c>
      <c r="M314" s="42">
        <v>24.0</v>
      </c>
      <c r="N314" s="42">
        <v>24.0</v>
      </c>
      <c r="O314" s="42">
        <v>0.0</v>
      </c>
      <c r="P314" s="42">
        <v>16.0</v>
      </c>
      <c r="Q314" s="42">
        <v>20.0</v>
      </c>
      <c r="R314" s="42">
        <v>24.0</v>
      </c>
      <c r="S314" s="111"/>
      <c r="T314" s="111"/>
      <c r="U314" s="111"/>
      <c r="V314" s="111"/>
      <c r="W314" s="111"/>
      <c r="X314" s="111"/>
      <c r="Y314" s="111"/>
    </row>
    <row r="315" ht="14.25" customHeight="1">
      <c r="B315" s="39"/>
      <c r="C315" s="340"/>
      <c r="D315" s="5" t="s">
        <v>342</v>
      </c>
      <c r="E315" s="341"/>
      <c r="F315" s="77"/>
      <c r="G315" s="77"/>
      <c r="H315" s="77"/>
      <c r="I315" s="42">
        <v>162.0</v>
      </c>
      <c r="J315" s="110" t="s">
        <v>98</v>
      </c>
      <c r="K315" s="42">
        <v>0.0</v>
      </c>
      <c r="L315" s="42">
        <v>80.0</v>
      </c>
      <c r="M315" s="42">
        <v>122.0</v>
      </c>
      <c r="N315" s="42">
        <v>162.0</v>
      </c>
      <c r="O315" s="42">
        <v>0.0</v>
      </c>
      <c r="P315" s="42">
        <v>82.0</v>
      </c>
      <c r="Q315" s="42">
        <v>127.0</v>
      </c>
      <c r="R315" s="42">
        <v>162.0</v>
      </c>
      <c r="S315" s="111"/>
      <c r="T315" s="111"/>
      <c r="U315" s="111"/>
      <c r="V315" s="111"/>
      <c r="W315" s="111"/>
      <c r="X315" s="111"/>
      <c r="Y315" s="111"/>
    </row>
    <row r="316" ht="14.25" customHeight="1">
      <c r="B316" s="39" t="s">
        <v>343</v>
      </c>
      <c r="C316" s="39"/>
      <c r="D316" s="77"/>
      <c r="E316" s="77"/>
      <c r="F316" s="77"/>
      <c r="G316" s="77"/>
      <c r="H316" s="77"/>
      <c r="I316" s="159"/>
      <c r="J316" s="103" t="s">
        <v>35</v>
      </c>
      <c r="K316" s="143">
        <v>14.946236559139786</v>
      </c>
      <c r="L316" s="143">
        <v>50.645161290322584</v>
      </c>
      <c r="M316" s="143">
        <v>76.27240143369175</v>
      </c>
      <c r="N316" s="143">
        <v>100.0</v>
      </c>
      <c r="O316" s="42">
        <v>14.54</v>
      </c>
      <c r="P316" s="42">
        <v>50.47</v>
      </c>
      <c r="Q316" s="42">
        <v>74.81</v>
      </c>
      <c r="R316" s="42">
        <v>100.0</v>
      </c>
      <c r="S316" s="46">
        <f t="shared" ref="S316:U316" si="298">IF(K316=0,0,IF((O316/K316*100)&gt;120,120,O316/K316*100))</f>
        <v>97.28201439</v>
      </c>
      <c r="T316" s="46">
        <f t="shared" si="298"/>
        <v>99.65414013</v>
      </c>
      <c r="U316" s="46">
        <f t="shared" si="298"/>
        <v>98.08265977</v>
      </c>
      <c r="V316" s="46">
        <f t="shared" ref="V316:Y316" si="299">IF($N316=0,0,IF((O316/$N316*100)&gt;120,120,O316/$N316*100))</f>
        <v>14.54</v>
      </c>
      <c r="W316" s="46">
        <f t="shared" si="299"/>
        <v>50.47</v>
      </c>
      <c r="X316" s="46">
        <f t="shared" si="299"/>
        <v>74.81</v>
      </c>
      <c r="Y316" s="46">
        <f t="shared" si="299"/>
        <v>100</v>
      </c>
    </row>
    <row r="317" ht="14.25" customHeight="1">
      <c r="B317" s="39"/>
      <c r="C317" s="39"/>
      <c r="D317" s="39"/>
      <c r="E317" s="39"/>
      <c r="F317" s="39"/>
      <c r="G317" s="39"/>
      <c r="H317" s="39"/>
      <c r="I317" s="39"/>
      <c r="J317" s="39"/>
      <c r="K317" s="39"/>
      <c r="L317" s="39"/>
      <c r="M317" s="39"/>
      <c r="N317" s="39"/>
      <c r="O317" s="39"/>
      <c r="P317" s="39"/>
      <c r="Q317" s="39"/>
      <c r="R317" s="39"/>
      <c r="S317" s="39"/>
      <c r="T317" s="39"/>
      <c r="U317" s="39"/>
      <c r="V317" s="39"/>
      <c r="W317" s="39"/>
      <c r="X317" s="39"/>
      <c r="Y317" s="39"/>
    </row>
    <row r="318" ht="14.25" customHeight="1">
      <c r="B318" s="330"/>
      <c r="C318" s="331"/>
      <c r="D318" s="332"/>
      <c r="E318" s="332"/>
      <c r="F318" s="332"/>
      <c r="G318" s="333" t="s">
        <v>457</v>
      </c>
      <c r="H318" s="332"/>
      <c r="I318" s="332"/>
      <c r="J318" s="332"/>
      <c r="K318" s="334"/>
      <c r="L318" s="334"/>
      <c r="M318" s="334"/>
      <c r="N318" s="334"/>
      <c r="O318" s="334"/>
      <c r="P318" s="334"/>
      <c r="Q318" s="334"/>
      <c r="R318" s="334"/>
      <c r="S318" s="335">
        <f t="shared" ref="S318:U318" si="300">IF(SUM(K291:K300,K316)&gt;0,SUM(S291:S300,S316)/SUM(COUNTIF(K291:K300,"&gt;0"),COUNTIF(K316,"&gt;0")),0)</f>
        <v>98.19472422</v>
      </c>
      <c r="T318" s="335">
        <f t="shared" si="300"/>
        <v>99.91253539</v>
      </c>
      <c r="U318" s="335">
        <f t="shared" si="300"/>
        <v>99.52096452</v>
      </c>
      <c r="V318" s="335">
        <f t="shared" ref="V318:Y318" si="301">IF(SUM($N291:$N317)&gt;0,SUM(V291:V317)/COUNTIF($N291:$N317,"&gt;0"),0)</f>
        <v>2.16332043</v>
      </c>
      <c r="W318" s="335">
        <f t="shared" si="301"/>
        <v>13.79934275</v>
      </c>
      <c r="X318" s="335">
        <f t="shared" si="301"/>
        <v>25.84201598</v>
      </c>
      <c r="Y318" s="335">
        <f t="shared" si="301"/>
        <v>39.9483871</v>
      </c>
    </row>
    <row r="319" ht="14.25" customHeight="1">
      <c r="V319" s="244">
        <f>SUM(V292:V316)/3</f>
        <v>18.02767025</v>
      </c>
      <c r="W319" s="244">
        <f t="shared" ref="W319:X319" si="302">SUM(W292:W316)/8</f>
        <v>43.12294611</v>
      </c>
      <c r="X319" s="244">
        <f t="shared" si="302"/>
        <v>80.75629992</v>
      </c>
      <c r="Y319" s="244">
        <f>SUM(Y292:Y316)/10</f>
        <v>99.87096774</v>
      </c>
    </row>
    <row r="320" ht="14.25" customHeight="1"/>
    <row r="321" ht="14.25" customHeight="1">
      <c r="B321" s="4" t="s">
        <v>345</v>
      </c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6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</row>
    <row r="322" ht="15.75" customHeight="1">
      <c r="B322" s="169" t="s">
        <v>2</v>
      </c>
      <c r="C322" s="8"/>
      <c r="D322" s="8"/>
      <c r="E322" s="8"/>
      <c r="F322" s="8"/>
      <c r="G322" s="8"/>
      <c r="H322" s="8"/>
      <c r="I322" s="324"/>
      <c r="J322" s="171" t="s">
        <v>3</v>
      </c>
      <c r="K322" s="11"/>
      <c r="L322" s="11"/>
      <c r="M322" s="11"/>
      <c r="N322" s="11"/>
      <c r="O322" s="11"/>
      <c r="P322" s="11"/>
      <c r="Q322" s="11"/>
      <c r="R322" s="12"/>
      <c r="S322" s="171" t="s">
        <v>4</v>
      </c>
      <c r="T322" s="11"/>
      <c r="U322" s="11"/>
      <c r="V322" s="11"/>
      <c r="W322" s="11"/>
      <c r="X322" s="11"/>
      <c r="Y322" s="12"/>
    </row>
    <row r="323" ht="14.25" customHeight="1">
      <c r="B323" s="13"/>
      <c r="I323" s="92"/>
      <c r="J323" s="172" t="s">
        <v>5</v>
      </c>
      <c r="K323" s="173" t="s">
        <v>62</v>
      </c>
      <c r="L323" s="17"/>
      <c r="M323" s="17"/>
      <c r="N323" s="18"/>
      <c r="O323" s="173" t="s">
        <v>63</v>
      </c>
      <c r="P323" s="17"/>
      <c r="Q323" s="17"/>
      <c r="R323" s="18"/>
      <c r="S323" s="173" t="s">
        <v>64</v>
      </c>
      <c r="T323" s="17"/>
      <c r="U323" s="18"/>
      <c r="V323" s="173" t="s">
        <v>9</v>
      </c>
      <c r="W323" s="17"/>
      <c r="X323" s="17"/>
      <c r="Y323" s="18"/>
    </row>
    <row r="324" ht="14.25" customHeight="1">
      <c r="B324" s="19"/>
      <c r="C324" s="20"/>
      <c r="D324" s="20"/>
      <c r="E324" s="20"/>
      <c r="F324" s="20"/>
      <c r="G324" s="20"/>
      <c r="H324" s="20"/>
      <c r="I324" s="21"/>
      <c r="J324" s="22"/>
      <c r="K324" s="174" t="s">
        <v>10</v>
      </c>
      <c r="L324" s="174" t="s">
        <v>11</v>
      </c>
      <c r="M324" s="174" t="s">
        <v>12</v>
      </c>
      <c r="N324" s="174" t="s">
        <v>13</v>
      </c>
      <c r="O324" s="174" t="s">
        <v>10</v>
      </c>
      <c r="P324" s="174" t="s">
        <v>11</v>
      </c>
      <c r="Q324" s="174" t="s">
        <v>12</v>
      </c>
      <c r="R324" s="174" t="s">
        <v>13</v>
      </c>
      <c r="S324" s="174" t="s">
        <v>10</v>
      </c>
      <c r="T324" s="174" t="s">
        <v>11</v>
      </c>
      <c r="U324" s="174" t="s">
        <v>12</v>
      </c>
      <c r="V324" s="174" t="s">
        <v>10</v>
      </c>
      <c r="W324" s="174" t="s">
        <v>11</v>
      </c>
      <c r="X324" s="174" t="s">
        <v>12</v>
      </c>
      <c r="Y324" s="174" t="s">
        <v>13</v>
      </c>
    </row>
    <row r="325" ht="14.25" customHeight="1">
      <c r="B325" s="176">
        <v>-1.0</v>
      </c>
      <c r="C325" s="27"/>
      <c r="D325" s="27"/>
      <c r="E325" s="27"/>
      <c r="F325" s="27"/>
      <c r="G325" s="27"/>
      <c r="H325" s="27"/>
      <c r="I325" s="325"/>
      <c r="J325" s="177">
        <v>-2.0</v>
      </c>
      <c r="K325" s="177">
        <v>-3.0</v>
      </c>
      <c r="L325" s="177">
        <v>-4.0</v>
      </c>
      <c r="M325" s="177">
        <v>-5.0</v>
      </c>
      <c r="N325" s="177">
        <v>-6.0</v>
      </c>
      <c r="O325" s="177">
        <v>-7.0</v>
      </c>
      <c r="P325" s="177">
        <v>-8.0</v>
      </c>
      <c r="Q325" s="177">
        <v>-9.0</v>
      </c>
      <c r="R325" s="177">
        <v>-10.0</v>
      </c>
      <c r="S325" s="177">
        <v>-11.0</v>
      </c>
      <c r="T325" s="177">
        <v>-12.0</v>
      </c>
      <c r="U325" s="177">
        <v>-13.0</v>
      </c>
      <c r="V325" s="177">
        <v>-14.0</v>
      </c>
      <c r="W325" s="177">
        <v>-15.0</v>
      </c>
      <c r="X325" s="177">
        <v>-16.0</v>
      </c>
      <c r="Y325" s="177">
        <v>-17.0</v>
      </c>
    </row>
    <row r="326" ht="14.25" customHeight="1">
      <c r="B326" s="35"/>
      <c r="C326" s="35"/>
      <c r="D326" s="35"/>
      <c r="E326" s="35"/>
      <c r="F326" s="35"/>
      <c r="G326" s="35"/>
      <c r="H326" s="35"/>
      <c r="I326" s="35"/>
      <c r="J326" s="35"/>
      <c r="K326" s="35"/>
      <c r="L326" s="35"/>
      <c r="M326" s="35"/>
      <c r="N326" s="35"/>
      <c r="O326" s="35"/>
      <c r="P326" s="35"/>
      <c r="Q326" s="35"/>
      <c r="R326" s="35"/>
      <c r="S326" s="35"/>
      <c r="T326" s="35"/>
      <c r="U326" s="35"/>
      <c r="V326" s="35"/>
      <c r="W326" s="35"/>
      <c r="X326" s="35"/>
      <c r="Y326" s="35"/>
    </row>
    <row r="327" ht="14.25" customHeight="1">
      <c r="B327" s="39" t="s">
        <v>346</v>
      </c>
      <c r="C327" s="39"/>
      <c r="D327" s="77"/>
      <c r="E327" s="77"/>
      <c r="F327" s="77"/>
      <c r="G327" s="77"/>
      <c r="H327" s="77"/>
      <c r="I327" s="159"/>
      <c r="J327" s="103" t="s">
        <v>85</v>
      </c>
      <c r="K327" s="39">
        <f t="shared" ref="K327:R327" si="303">SUM(K328:K329)</f>
        <v>0</v>
      </c>
      <c r="L327" s="39">
        <f t="shared" si="303"/>
        <v>1</v>
      </c>
      <c r="M327" s="60">
        <f t="shared" si="303"/>
        <v>2</v>
      </c>
      <c r="N327" s="178">
        <f t="shared" si="303"/>
        <v>3</v>
      </c>
      <c r="O327" s="62">
        <f t="shared" si="303"/>
        <v>0</v>
      </c>
      <c r="P327" s="39">
        <f t="shared" si="303"/>
        <v>1</v>
      </c>
      <c r="Q327" s="39">
        <f t="shared" si="303"/>
        <v>2</v>
      </c>
      <c r="R327" s="39">
        <f t="shared" si="303"/>
        <v>3</v>
      </c>
      <c r="S327" s="46">
        <f t="shared" ref="S327:U327" si="304">IF(K327=0,0,IF((O327/K327*100)&gt;120,120,O327/K327*100))</f>
        <v>0</v>
      </c>
      <c r="T327" s="46">
        <f t="shared" si="304"/>
        <v>100</v>
      </c>
      <c r="U327" s="46">
        <f t="shared" si="304"/>
        <v>100</v>
      </c>
      <c r="V327" s="46">
        <f t="shared" ref="V327:Y327" si="305">IF($N327=0,0,IF((O327/$N327*100)&gt;120,120,O327/$N327*100))</f>
        <v>0</v>
      </c>
      <c r="W327" s="46">
        <f t="shared" si="305"/>
        <v>33.33333333</v>
      </c>
      <c r="X327" s="46">
        <f t="shared" si="305"/>
        <v>66.66666667</v>
      </c>
      <c r="Y327" s="46">
        <f t="shared" si="305"/>
        <v>100</v>
      </c>
    </row>
    <row r="328" ht="14.25" customHeight="1">
      <c r="B328" s="39"/>
      <c r="C328" s="109" t="s">
        <v>347</v>
      </c>
      <c r="D328" s="77"/>
      <c r="E328" s="77"/>
      <c r="F328" s="77"/>
      <c r="G328" s="77"/>
      <c r="H328" s="77"/>
      <c r="I328" s="159"/>
      <c r="J328" s="110" t="s">
        <v>87</v>
      </c>
      <c r="K328" s="42">
        <v>0.0</v>
      </c>
      <c r="L328" s="42">
        <v>1.0</v>
      </c>
      <c r="M328" s="42">
        <v>2.0</v>
      </c>
      <c r="N328" s="42">
        <v>2.0</v>
      </c>
      <c r="O328" s="42">
        <v>0.0</v>
      </c>
      <c r="P328" s="42">
        <v>1.0</v>
      </c>
      <c r="Q328" s="42">
        <v>2.0</v>
      </c>
      <c r="R328" s="42">
        <v>2.0</v>
      </c>
      <c r="S328" s="46">
        <f t="shared" ref="S328:U328" si="306">IF(K328=0,0,IF((O328/K328*100)&gt;120,120,O328/K328*100))</f>
        <v>0</v>
      </c>
      <c r="T328" s="46">
        <f t="shared" si="306"/>
        <v>100</v>
      </c>
      <c r="U328" s="46">
        <f t="shared" si="306"/>
        <v>100</v>
      </c>
      <c r="V328" s="46">
        <f t="shared" ref="V328:Y328" si="307">IF($N328=0,0,IF((O328/$N328*100)&gt;120,120,O328/$N328*100))</f>
        <v>0</v>
      </c>
      <c r="W328" s="46">
        <f t="shared" si="307"/>
        <v>50</v>
      </c>
      <c r="X328" s="46">
        <f t="shared" si="307"/>
        <v>100</v>
      </c>
      <c r="Y328" s="46">
        <f t="shared" si="307"/>
        <v>100</v>
      </c>
    </row>
    <row r="329" ht="14.25" customHeight="1">
      <c r="B329" s="39"/>
      <c r="C329" s="109" t="s">
        <v>348</v>
      </c>
      <c r="D329" s="77"/>
      <c r="E329" s="77"/>
      <c r="F329" s="77"/>
      <c r="G329" s="77"/>
      <c r="H329" s="77"/>
      <c r="I329" s="159"/>
      <c r="J329" s="110" t="s">
        <v>66</v>
      </c>
      <c r="K329" s="42">
        <v>0.0</v>
      </c>
      <c r="L329" s="42">
        <v>0.0</v>
      </c>
      <c r="M329" s="42">
        <v>0.0</v>
      </c>
      <c r="N329" s="42">
        <v>1.0</v>
      </c>
      <c r="O329" s="42">
        <v>0.0</v>
      </c>
      <c r="P329" s="42">
        <v>0.0</v>
      </c>
      <c r="Q329" s="42">
        <v>0.0</v>
      </c>
      <c r="R329" s="42">
        <v>1.0</v>
      </c>
      <c r="S329" s="46">
        <f t="shared" ref="S329:U329" si="308">IF(K329=0,0,IF((O329/K329*100)&gt;120,120,O329/K329*100))</f>
        <v>0</v>
      </c>
      <c r="T329" s="46">
        <f t="shared" si="308"/>
        <v>0</v>
      </c>
      <c r="U329" s="46">
        <f t="shared" si="308"/>
        <v>0</v>
      </c>
      <c r="V329" s="46">
        <f t="shared" ref="V329:Y329" si="309">IF($N329=0,0,IF((O329/$N329*100)&gt;120,120,O329/$N329*100))</f>
        <v>0</v>
      </c>
      <c r="W329" s="46">
        <f t="shared" si="309"/>
        <v>0</v>
      </c>
      <c r="X329" s="46">
        <f t="shared" si="309"/>
        <v>0</v>
      </c>
      <c r="Y329" s="46">
        <f t="shared" si="309"/>
        <v>100</v>
      </c>
    </row>
    <row r="330" ht="14.25" customHeight="1">
      <c r="B330" s="39" t="s">
        <v>349</v>
      </c>
      <c r="C330" s="39"/>
      <c r="D330" s="77"/>
      <c r="E330" s="77"/>
      <c r="F330" s="77"/>
      <c r="G330" s="77"/>
      <c r="H330" s="77"/>
      <c r="I330" s="159"/>
      <c r="J330" s="103" t="s">
        <v>85</v>
      </c>
      <c r="K330" s="39">
        <f t="shared" ref="K330:R330" si="310">SUM(K331:K332)</f>
        <v>0</v>
      </c>
      <c r="L330" s="39">
        <f t="shared" si="310"/>
        <v>1</v>
      </c>
      <c r="M330" s="60">
        <f t="shared" si="310"/>
        <v>2</v>
      </c>
      <c r="N330" s="178">
        <f t="shared" si="310"/>
        <v>3</v>
      </c>
      <c r="O330" s="62">
        <f t="shared" si="310"/>
        <v>0</v>
      </c>
      <c r="P330" s="39">
        <f t="shared" si="310"/>
        <v>1</v>
      </c>
      <c r="Q330" s="39">
        <f t="shared" si="310"/>
        <v>2</v>
      </c>
      <c r="R330" s="39">
        <f t="shared" si="310"/>
        <v>3</v>
      </c>
      <c r="S330" s="46">
        <f t="shared" ref="S330:U330" si="311">IF(K330=0,0,IF((O330/K330*100)&gt;120,120,O330/K330*100))</f>
        <v>0</v>
      </c>
      <c r="T330" s="46">
        <f t="shared" si="311"/>
        <v>100</v>
      </c>
      <c r="U330" s="46">
        <f t="shared" si="311"/>
        <v>100</v>
      </c>
      <c r="V330" s="46">
        <f t="shared" ref="V330:Y330" si="312">IF($N330=0,0,IF((O330/$N330*100)&gt;120,120,O330/$N330*100))</f>
        <v>0</v>
      </c>
      <c r="W330" s="46">
        <f t="shared" si="312"/>
        <v>33.33333333</v>
      </c>
      <c r="X330" s="46">
        <f t="shared" si="312"/>
        <v>66.66666667</v>
      </c>
      <c r="Y330" s="46">
        <f t="shared" si="312"/>
        <v>100</v>
      </c>
    </row>
    <row r="331" ht="14.25" customHeight="1">
      <c r="B331" s="39"/>
      <c r="C331" s="109" t="s">
        <v>350</v>
      </c>
      <c r="D331" s="77"/>
      <c r="E331" s="77"/>
      <c r="F331" s="77"/>
      <c r="G331" s="77"/>
      <c r="H331" s="77"/>
      <c r="I331" s="159"/>
      <c r="J331" s="110" t="s">
        <v>87</v>
      </c>
      <c r="K331" s="42">
        <v>0.0</v>
      </c>
      <c r="L331" s="42">
        <v>1.0</v>
      </c>
      <c r="M331" s="42">
        <v>2.0</v>
      </c>
      <c r="N331" s="42">
        <v>2.0</v>
      </c>
      <c r="O331" s="42">
        <v>0.0</v>
      </c>
      <c r="P331" s="42">
        <v>1.0</v>
      </c>
      <c r="Q331" s="42">
        <v>2.0</v>
      </c>
      <c r="R331" s="42">
        <v>2.0</v>
      </c>
      <c r="S331" s="46">
        <f t="shared" ref="S331:U331" si="313">IF(K331=0,0,IF((O331/K331*100)&gt;120,120,O331/K331*100))</f>
        <v>0</v>
      </c>
      <c r="T331" s="46">
        <f t="shared" si="313"/>
        <v>100</v>
      </c>
      <c r="U331" s="46">
        <f t="shared" si="313"/>
        <v>100</v>
      </c>
      <c r="V331" s="46">
        <f t="shared" ref="V331:Y331" si="314">IF($N331=0,0,IF((O331/$N331*100)&gt;120,120,O331/$N331*100))</f>
        <v>0</v>
      </c>
      <c r="W331" s="46">
        <f t="shared" si="314"/>
        <v>50</v>
      </c>
      <c r="X331" s="46">
        <f t="shared" si="314"/>
        <v>100</v>
      </c>
      <c r="Y331" s="46">
        <f t="shared" si="314"/>
        <v>100</v>
      </c>
    </row>
    <row r="332" ht="14.25" customHeight="1">
      <c r="B332" s="39"/>
      <c r="C332" s="109" t="s">
        <v>351</v>
      </c>
      <c r="D332" s="77"/>
      <c r="E332" s="77"/>
      <c r="F332" s="77"/>
      <c r="G332" s="77"/>
      <c r="H332" s="77"/>
      <c r="I332" s="159"/>
      <c r="J332" s="110" t="s">
        <v>66</v>
      </c>
      <c r="K332" s="42">
        <v>0.0</v>
      </c>
      <c r="L332" s="42">
        <v>0.0</v>
      </c>
      <c r="M332" s="42">
        <v>0.0</v>
      </c>
      <c r="N332" s="42">
        <v>1.0</v>
      </c>
      <c r="O332" s="42">
        <v>0.0</v>
      </c>
      <c r="P332" s="42">
        <v>0.0</v>
      </c>
      <c r="Q332" s="42">
        <v>0.0</v>
      </c>
      <c r="R332" s="42">
        <v>1.0</v>
      </c>
      <c r="S332" s="46">
        <f t="shared" ref="S332:U332" si="315">IF(K332=0,0,IF((O332/K332*100)&gt;120,120,O332/K332*100))</f>
        <v>0</v>
      </c>
      <c r="T332" s="46">
        <f t="shared" si="315"/>
        <v>0</v>
      </c>
      <c r="U332" s="46">
        <f t="shared" si="315"/>
        <v>0</v>
      </c>
      <c r="V332" s="46">
        <f t="shared" ref="V332:Y332" si="316">IF($N332=0,0,IF((O332/$N332*100)&gt;120,120,O332/$N332*100))</f>
        <v>0</v>
      </c>
      <c r="W332" s="46">
        <f t="shared" si="316"/>
        <v>0</v>
      </c>
      <c r="X332" s="46">
        <f t="shared" si="316"/>
        <v>0</v>
      </c>
      <c r="Y332" s="46">
        <f t="shared" si="316"/>
        <v>100</v>
      </c>
    </row>
    <row r="333" ht="14.25" customHeight="1">
      <c r="B333" s="39" t="s">
        <v>352</v>
      </c>
      <c r="C333" s="39"/>
      <c r="D333" s="77"/>
      <c r="E333" s="77"/>
      <c r="F333" s="77"/>
      <c r="G333" s="77"/>
      <c r="H333" s="77"/>
      <c r="I333" s="159"/>
      <c r="J333" s="103" t="s">
        <v>87</v>
      </c>
      <c r="K333" s="42">
        <v>0.0</v>
      </c>
      <c r="L333" s="42">
        <v>1.0</v>
      </c>
      <c r="M333" s="42">
        <v>2.0</v>
      </c>
      <c r="N333" s="42">
        <v>2.0</v>
      </c>
      <c r="O333" s="42">
        <v>0.0</v>
      </c>
      <c r="P333" s="42">
        <v>1.0</v>
      </c>
      <c r="Q333" s="42">
        <v>2.0</v>
      </c>
      <c r="R333" s="42">
        <v>2.0</v>
      </c>
      <c r="S333" s="46">
        <f t="shared" ref="S333:U333" si="317">IF(K333=0,0,IF((O333/K333*100)&gt;120,120,O333/K333*100))</f>
        <v>0</v>
      </c>
      <c r="T333" s="46">
        <f t="shared" si="317"/>
        <v>100</v>
      </c>
      <c r="U333" s="46">
        <f t="shared" si="317"/>
        <v>100</v>
      </c>
      <c r="V333" s="46">
        <f t="shared" ref="V333:Y333" si="318">IF($N333=0,0,IF((O333/$N333*100)&gt;120,120,O333/$N333*100))</f>
        <v>0</v>
      </c>
      <c r="W333" s="46">
        <f t="shared" si="318"/>
        <v>50</v>
      </c>
      <c r="X333" s="46">
        <f t="shared" si="318"/>
        <v>100</v>
      </c>
      <c r="Y333" s="46">
        <f t="shared" si="318"/>
        <v>100</v>
      </c>
    </row>
    <row r="334" ht="14.25" customHeight="1">
      <c r="B334" s="39" t="s">
        <v>353</v>
      </c>
      <c r="C334" s="39"/>
      <c r="D334" s="77"/>
      <c r="E334" s="77"/>
      <c r="F334" s="77"/>
      <c r="G334" s="77"/>
      <c r="H334" s="77"/>
      <c r="I334" s="159"/>
      <c r="J334" s="103" t="s">
        <v>95</v>
      </c>
      <c r="K334" s="42">
        <v>6.0</v>
      </c>
      <c r="L334" s="42">
        <v>12.0</v>
      </c>
      <c r="M334" s="42">
        <v>18.0</v>
      </c>
      <c r="N334" s="42">
        <v>24.0</v>
      </c>
      <c r="O334" s="42">
        <v>6.0</v>
      </c>
      <c r="P334" s="42">
        <v>12.0</v>
      </c>
      <c r="Q334" s="42">
        <v>18.0</v>
      </c>
      <c r="R334" s="42">
        <v>24.0</v>
      </c>
      <c r="S334" s="46">
        <f t="shared" ref="S334:U334" si="319">IF(K334=0,0,IF((O334/K334*100)&gt;120,120,O334/K334*100))</f>
        <v>100</v>
      </c>
      <c r="T334" s="46">
        <f t="shared" si="319"/>
        <v>100</v>
      </c>
      <c r="U334" s="46">
        <f t="shared" si="319"/>
        <v>100</v>
      </c>
      <c r="V334" s="46">
        <f t="shared" ref="V334:Y334" si="320">IF($N334=0,0,IF((O334/$N334*100)&gt;120,120,O334/$N334*100))</f>
        <v>25</v>
      </c>
      <c r="W334" s="46">
        <f t="shared" si="320"/>
        <v>50</v>
      </c>
      <c r="X334" s="46">
        <f t="shared" si="320"/>
        <v>75</v>
      </c>
      <c r="Y334" s="46">
        <f t="shared" si="320"/>
        <v>100</v>
      </c>
    </row>
    <row r="335" ht="14.25" customHeight="1">
      <c r="B335" s="39" t="s">
        <v>354</v>
      </c>
      <c r="C335" s="39"/>
      <c r="D335" s="77"/>
      <c r="E335" s="77"/>
      <c r="F335" s="77"/>
      <c r="G335" s="77"/>
      <c r="H335" s="77"/>
      <c r="I335" s="159"/>
      <c r="J335" s="103" t="s">
        <v>35</v>
      </c>
      <c r="K335" s="254">
        <f t="shared" ref="K335:R335" si="321">IF($I336+$I338+$I350=0,0,AVERAGE(IF($I336&gt;0,K336/$I336*100,0),IF($I338&gt;0,K338/$I338*100,0),IF($I350&gt;0,K350/$I350*100,0)))</f>
        <v>10.50661376</v>
      </c>
      <c r="L335" s="254">
        <f t="shared" si="321"/>
        <v>61.37301587</v>
      </c>
      <c r="M335" s="336">
        <f t="shared" si="321"/>
        <v>85.5026455</v>
      </c>
      <c r="N335" s="337">
        <f t="shared" si="321"/>
        <v>97.94444444</v>
      </c>
      <c r="O335" s="338">
        <f t="shared" si="321"/>
        <v>10.50661376</v>
      </c>
      <c r="P335" s="254">
        <f t="shared" si="321"/>
        <v>61.88624339</v>
      </c>
      <c r="Q335" s="254">
        <f t="shared" si="321"/>
        <v>81.52645503</v>
      </c>
      <c r="R335" s="254">
        <f t="shared" si="321"/>
        <v>94.59126984</v>
      </c>
      <c r="S335" s="46">
        <f t="shared" ref="S335:U335" si="322">IF(K335=0,0,IF((O335/K335*100)&gt;120,120,O335/K335*100))</f>
        <v>100</v>
      </c>
      <c r="T335" s="46">
        <f t="shared" si="322"/>
        <v>100.8362429</v>
      </c>
      <c r="U335" s="46">
        <f t="shared" si="322"/>
        <v>95.34962871</v>
      </c>
      <c r="V335" s="46">
        <f t="shared" ref="V335:Y335" si="323">IF($N335=0,0,IF((O335/$N335*100)&gt;120,120,O335/$N335*100))</f>
        <v>10.72711558</v>
      </c>
      <c r="W335" s="46">
        <f t="shared" si="323"/>
        <v>63.18504713</v>
      </c>
      <c r="X335" s="46">
        <f t="shared" si="323"/>
        <v>83.23744699</v>
      </c>
      <c r="Y335" s="46">
        <f t="shared" si="323"/>
        <v>96.57645248</v>
      </c>
    </row>
    <row r="336" ht="14.25" customHeight="1">
      <c r="B336" s="39"/>
      <c r="C336" s="109" t="s">
        <v>355</v>
      </c>
      <c r="D336" s="77"/>
      <c r="E336" s="77"/>
      <c r="F336" s="77"/>
      <c r="G336" s="77"/>
      <c r="H336" s="77"/>
      <c r="I336" s="42">
        <f>SUM(I337)</f>
        <v>121</v>
      </c>
      <c r="J336" s="110" t="s">
        <v>98</v>
      </c>
      <c r="K336" s="42">
        <f t="shared" ref="K336:R336" si="324">SUM(K337)</f>
        <v>0</v>
      </c>
      <c r="L336" s="42">
        <f t="shared" si="324"/>
        <v>121</v>
      </c>
      <c r="M336" s="42">
        <f t="shared" si="324"/>
        <v>121</v>
      </c>
      <c r="N336" s="42">
        <f t="shared" si="324"/>
        <v>121</v>
      </c>
      <c r="O336" s="42">
        <f t="shared" si="324"/>
        <v>0</v>
      </c>
      <c r="P336" s="42">
        <f t="shared" si="324"/>
        <v>121</v>
      </c>
      <c r="Q336" s="42">
        <f t="shared" si="324"/>
        <v>121</v>
      </c>
      <c r="R336" s="42">
        <f t="shared" si="324"/>
        <v>121</v>
      </c>
      <c r="S336" s="111"/>
      <c r="T336" s="111"/>
      <c r="U336" s="111"/>
      <c r="V336" s="111"/>
      <c r="W336" s="111"/>
      <c r="X336" s="111"/>
      <c r="Y336" s="111"/>
    </row>
    <row r="337" ht="14.25" customHeight="1">
      <c r="B337" s="39"/>
      <c r="C337" s="109"/>
      <c r="D337" s="77" t="s">
        <v>458</v>
      </c>
      <c r="E337" s="77"/>
      <c r="F337" s="77"/>
      <c r="G337" s="77"/>
      <c r="H337" s="77"/>
      <c r="I337" s="42">
        <v>121.0</v>
      </c>
      <c r="J337" s="110" t="s">
        <v>98</v>
      </c>
      <c r="K337" s="42">
        <v>0.0</v>
      </c>
      <c r="L337" s="42">
        <v>121.0</v>
      </c>
      <c r="M337" s="42">
        <v>121.0</v>
      </c>
      <c r="N337" s="42">
        <v>121.0</v>
      </c>
      <c r="O337" s="42">
        <v>0.0</v>
      </c>
      <c r="P337" s="42">
        <v>121.0</v>
      </c>
      <c r="Q337" s="42">
        <v>121.0</v>
      </c>
      <c r="R337" s="42">
        <v>121.0</v>
      </c>
      <c r="S337" s="111"/>
      <c r="T337" s="111"/>
      <c r="U337" s="111"/>
      <c r="V337" s="111"/>
      <c r="W337" s="111"/>
      <c r="X337" s="111"/>
      <c r="Y337" s="111"/>
    </row>
    <row r="338" ht="14.25" customHeight="1">
      <c r="B338" s="39"/>
      <c r="C338" s="109" t="s">
        <v>356</v>
      </c>
      <c r="D338" s="339"/>
      <c r="E338" s="77"/>
      <c r="F338" s="77"/>
      <c r="G338" s="77"/>
      <c r="H338" s="77"/>
      <c r="I338" s="42">
        <f>SUM(I339:I349)</f>
        <v>3150</v>
      </c>
      <c r="J338" s="110" t="s">
        <v>98</v>
      </c>
      <c r="K338" s="42">
        <f t="shared" ref="K338:R338" si="325">SUM(K339:K349)</f>
        <v>271</v>
      </c>
      <c r="L338" s="42">
        <f t="shared" si="325"/>
        <v>681</v>
      </c>
      <c r="M338" s="42">
        <f t="shared" si="325"/>
        <v>2305</v>
      </c>
      <c r="N338" s="42">
        <f t="shared" si="325"/>
        <v>3087</v>
      </c>
      <c r="O338" s="42">
        <f t="shared" si="325"/>
        <v>271</v>
      </c>
      <c r="P338" s="42">
        <f t="shared" si="325"/>
        <v>992</v>
      </c>
      <c r="Q338" s="42">
        <f t="shared" si="325"/>
        <v>2323</v>
      </c>
      <c r="R338" s="42">
        <f t="shared" si="325"/>
        <v>2967</v>
      </c>
      <c r="S338" s="111"/>
      <c r="T338" s="111"/>
      <c r="U338" s="111"/>
      <c r="V338" s="111"/>
      <c r="W338" s="111"/>
      <c r="X338" s="111"/>
      <c r="Y338" s="111"/>
    </row>
    <row r="339" ht="14.25" customHeight="1">
      <c r="B339" s="39"/>
      <c r="C339" s="340"/>
      <c r="D339" s="5" t="s">
        <v>357</v>
      </c>
      <c r="E339" s="341"/>
      <c r="F339" s="77"/>
      <c r="G339" s="77"/>
      <c r="H339" s="77"/>
      <c r="I339" s="42">
        <v>81.0</v>
      </c>
      <c r="J339" s="110" t="s">
        <v>98</v>
      </c>
      <c r="K339" s="42">
        <v>0.0</v>
      </c>
      <c r="L339" s="42">
        <v>81.0</v>
      </c>
      <c r="M339" s="42">
        <v>81.0</v>
      </c>
      <c r="N339" s="42">
        <v>81.0</v>
      </c>
      <c r="O339" s="42">
        <v>0.0</v>
      </c>
      <c r="P339" s="42">
        <v>76.0</v>
      </c>
      <c r="Q339" s="42">
        <v>81.0</v>
      </c>
      <c r="R339" s="42">
        <v>81.0</v>
      </c>
      <c r="S339" s="111"/>
      <c r="T339" s="111"/>
      <c r="U339" s="111"/>
      <c r="V339" s="111"/>
      <c r="W339" s="111"/>
      <c r="X339" s="111"/>
      <c r="Y339" s="111"/>
    </row>
    <row r="340" ht="14.25" customHeight="1">
      <c r="B340" s="39"/>
      <c r="C340" s="340"/>
      <c r="D340" s="5" t="s">
        <v>358</v>
      </c>
      <c r="E340" s="341"/>
      <c r="F340" s="77"/>
      <c r="G340" s="77"/>
      <c r="H340" s="77"/>
      <c r="I340" s="42">
        <v>833.0</v>
      </c>
      <c r="J340" s="110" t="s">
        <v>98</v>
      </c>
      <c r="K340" s="42">
        <v>0.0</v>
      </c>
      <c r="L340" s="42">
        <v>0.0</v>
      </c>
      <c r="M340" s="42">
        <v>833.0</v>
      </c>
      <c r="N340" s="42">
        <v>833.0</v>
      </c>
      <c r="O340" s="42">
        <v>0.0</v>
      </c>
      <c r="P340" s="42">
        <v>316.0</v>
      </c>
      <c r="Q340" s="42">
        <v>818.0</v>
      </c>
      <c r="R340" s="42">
        <v>818.0</v>
      </c>
      <c r="S340" s="111"/>
      <c r="T340" s="111"/>
      <c r="U340" s="111"/>
      <c r="V340" s="111"/>
      <c r="W340" s="111"/>
      <c r="X340" s="111"/>
      <c r="Y340" s="111"/>
    </row>
    <row r="341" ht="14.25" customHeight="1">
      <c r="B341" s="39"/>
      <c r="C341" s="340"/>
      <c r="D341" s="5" t="s">
        <v>359</v>
      </c>
      <c r="E341" s="341"/>
      <c r="F341" s="77"/>
      <c r="G341" s="77"/>
      <c r="H341" s="77"/>
      <c r="I341" s="42">
        <v>213.0</v>
      </c>
      <c r="J341" s="110" t="s">
        <v>98</v>
      </c>
      <c r="K341" s="42">
        <v>0.0</v>
      </c>
      <c r="L341" s="42">
        <v>50.0</v>
      </c>
      <c r="M341" s="42">
        <v>100.0</v>
      </c>
      <c r="N341" s="42">
        <v>150.0</v>
      </c>
      <c r="O341" s="42">
        <v>0.0</v>
      </c>
      <c r="P341" s="42">
        <v>50.0</v>
      </c>
      <c r="Q341" s="42">
        <v>100.0</v>
      </c>
      <c r="R341" s="42">
        <v>192.0</v>
      </c>
      <c r="S341" s="111"/>
      <c r="T341" s="111"/>
      <c r="U341" s="111"/>
      <c r="V341" s="111"/>
      <c r="W341" s="111"/>
      <c r="X341" s="111"/>
      <c r="Y341" s="111"/>
    </row>
    <row r="342" ht="14.25" customHeight="1">
      <c r="B342" s="39"/>
      <c r="C342" s="340"/>
      <c r="D342" s="5" t="s">
        <v>360</v>
      </c>
      <c r="E342" s="341"/>
      <c r="F342" s="77"/>
      <c r="G342" s="77"/>
      <c r="H342" s="77"/>
      <c r="I342" s="42">
        <v>84.0</v>
      </c>
      <c r="J342" s="110" t="s">
        <v>98</v>
      </c>
      <c r="K342" s="42">
        <v>21.0</v>
      </c>
      <c r="L342" s="42">
        <v>42.0</v>
      </c>
      <c r="M342" s="42">
        <v>63.0</v>
      </c>
      <c r="N342" s="42">
        <v>84.0</v>
      </c>
      <c r="O342" s="42">
        <v>21.0</v>
      </c>
      <c r="P342" s="42">
        <v>42.0</v>
      </c>
      <c r="Q342" s="42">
        <v>63.0</v>
      </c>
      <c r="R342" s="42">
        <v>84.0</v>
      </c>
      <c r="S342" s="111"/>
      <c r="T342" s="111"/>
      <c r="U342" s="111"/>
      <c r="V342" s="111"/>
      <c r="W342" s="111"/>
      <c r="X342" s="111"/>
      <c r="Y342" s="111"/>
    </row>
    <row r="343" ht="14.25" customHeight="1">
      <c r="B343" s="39"/>
      <c r="C343" s="340"/>
      <c r="D343" s="5" t="s">
        <v>361</v>
      </c>
      <c r="E343" s="341"/>
      <c r="F343" s="77"/>
      <c r="G343" s="77"/>
      <c r="H343" s="77"/>
      <c r="I343" s="42">
        <v>24.0</v>
      </c>
      <c r="J343" s="110" t="s">
        <v>98</v>
      </c>
      <c r="K343" s="42">
        <v>0.0</v>
      </c>
      <c r="L343" s="42">
        <v>8.0</v>
      </c>
      <c r="M343" s="42">
        <v>16.0</v>
      </c>
      <c r="N343" s="42">
        <v>24.0</v>
      </c>
      <c r="O343" s="42">
        <v>0.0</v>
      </c>
      <c r="P343" s="42">
        <v>8.0</v>
      </c>
      <c r="Q343" s="42">
        <v>16.0</v>
      </c>
      <c r="R343" s="42">
        <v>24.0</v>
      </c>
      <c r="S343" s="111"/>
      <c r="T343" s="111"/>
      <c r="U343" s="111"/>
      <c r="V343" s="111"/>
      <c r="W343" s="111"/>
      <c r="X343" s="111"/>
      <c r="Y343" s="111"/>
    </row>
    <row r="344" ht="14.25" customHeight="1">
      <c r="B344" s="39"/>
      <c r="C344" s="340"/>
      <c r="D344" s="5" t="s">
        <v>362</v>
      </c>
      <c r="E344" s="341"/>
      <c r="F344" s="77"/>
      <c r="G344" s="77"/>
      <c r="H344" s="77"/>
      <c r="I344" s="42">
        <v>1344.0</v>
      </c>
      <c r="J344" s="110" t="s">
        <v>98</v>
      </c>
      <c r="K344" s="42">
        <v>250.0</v>
      </c>
      <c r="L344" s="42">
        <v>500.0</v>
      </c>
      <c r="M344" s="42">
        <v>750.0</v>
      </c>
      <c r="N344" s="42">
        <v>1344.0</v>
      </c>
      <c r="O344" s="42">
        <v>250.0</v>
      </c>
      <c r="P344" s="42">
        <v>500.0</v>
      </c>
      <c r="Q344" s="42">
        <v>788.0</v>
      </c>
      <c r="R344" s="42">
        <v>1224.0</v>
      </c>
      <c r="S344" s="111"/>
      <c r="T344" s="111"/>
      <c r="U344" s="111"/>
      <c r="V344" s="111"/>
      <c r="W344" s="111"/>
      <c r="X344" s="111"/>
      <c r="Y344" s="111"/>
    </row>
    <row r="345" ht="14.25" customHeight="1">
      <c r="B345" s="39"/>
      <c r="C345" s="340"/>
      <c r="D345" s="5" t="s">
        <v>363</v>
      </c>
      <c r="E345" s="341"/>
      <c r="F345" s="77"/>
      <c r="G345" s="77"/>
      <c r="H345" s="77"/>
      <c r="I345" s="42">
        <v>229.0</v>
      </c>
      <c r="J345" s="110" t="s">
        <v>98</v>
      </c>
      <c r="K345" s="42">
        <v>0.0</v>
      </c>
      <c r="L345" s="42">
        <v>0.0</v>
      </c>
      <c r="M345" s="42">
        <v>150.0</v>
      </c>
      <c r="N345" s="42">
        <v>229.0</v>
      </c>
      <c r="O345" s="42">
        <v>0.0</v>
      </c>
      <c r="P345" s="42">
        <v>0.0</v>
      </c>
      <c r="Q345" s="42">
        <v>150.0</v>
      </c>
      <c r="R345" s="42">
        <v>205.0</v>
      </c>
      <c r="S345" s="111"/>
      <c r="T345" s="111"/>
      <c r="U345" s="111"/>
      <c r="V345" s="111"/>
      <c r="W345" s="111"/>
      <c r="X345" s="111"/>
      <c r="Y345" s="111"/>
    </row>
    <row r="346" ht="14.25" customHeight="1">
      <c r="B346" s="39"/>
      <c r="C346" s="340"/>
      <c r="D346" s="5" t="s">
        <v>364</v>
      </c>
      <c r="E346" s="341"/>
      <c r="F346" s="77"/>
      <c r="G346" s="77"/>
      <c r="H346" s="77"/>
      <c r="I346" s="42">
        <v>16.0</v>
      </c>
      <c r="J346" s="110" t="s">
        <v>98</v>
      </c>
      <c r="K346" s="42">
        <v>0.0</v>
      </c>
      <c r="L346" s="42">
        <v>0.0</v>
      </c>
      <c r="M346" s="42">
        <v>16.0</v>
      </c>
      <c r="N346" s="42">
        <v>16.0</v>
      </c>
      <c r="O346" s="42">
        <v>0.0</v>
      </c>
      <c r="P346" s="42">
        <v>0.0</v>
      </c>
      <c r="Q346" s="42">
        <v>12.0</v>
      </c>
      <c r="R346" s="42">
        <v>15.0</v>
      </c>
      <c r="S346" s="111"/>
      <c r="T346" s="111"/>
      <c r="U346" s="111"/>
      <c r="V346" s="111"/>
      <c r="W346" s="111"/>
      <c r="X346" s="111"/>
      <c r="Y346" s="111"/>
    </row>
    <row r="347" ht="14.25" customHeight="1">
      <c r="B347" s="39"/>
      <c r="C347" s="340"/>
      <c r="D347" s="5" t="s">
        <v>459</v>
      </c>
      <c r="E347" s="341"/>
      <c r="F347" s="77"/>
      <c r="G347" s="77"/>
      <c r="H347" s="77"/>
      <c r="I347" s="42">
        <v>40.0</v>
      </c>
      <c r="J347" s="110" t="s">
        <v>98</v>
      </c>
      <c r="K347" s="42">
        <v>0.0</v>
      </c>
      <c r="L347" s="42">
        <v>0.0</v>
      </c>
      <c r="M347" s="42">
        <v>30.0</v>
      </c>
      <c r="N347" s="42">
        <v>40.0</v>
      </c>
      <c r="O347" s="42">
        <v>0.0</v>
      </c>
      <c r="P347" s="42">
        <v>0.0</v>
      </c>
      <c r="Q347" s="42">
        <v>30.0</v>
      </c>
      <c r="R347" s="42">
        <v>40.0</v>
      </c>
      <c r="S347" s="111"/>
      <c r="T347" s="111"/>
      <c r="U347" s="111"/>
      <c r="V347" s="111"/>
      <c r="W347" s="111"/>
      <c r="X347" s="111"/>
      <c r="Y347" s="111"/>
    </row>
    <row r="348" ht="14.25" customHeight="1">
      <c r="B348" s="39"/>
      <c r="C348" s="340"/>
      <c r="D348" s="5" t="s">
        <v>367</v>
      </c>
      <c r="E348" s="341"/>
      <c r="F348" s="77"/>
      <c r="G348" s="77"/>
      <c r="H348" s="77"/>
      <c r="I348" s="42">
        <v>212.0</v>
      </c>
      <c r="J348" s="110" t="s">
        <v>98</v>
      </c>
      <c r="K348" s="42">
        <v>0.0</v>
      </c>
      <c r="L348" s="42">
        <v>0.0</v>
      </c>
      <c r="M348" s="42">
        <v>212.0</v>
      </c>
      <c r="N348" s="42">
        <v>212.0</v>
      </c>
      <c r="O348" s="42">
        <v>0.0</v>
      </c>
      <c r="P348" s="42">
        <v>0.0</v>
      </c>
      <c r="Q348" s="42">
        <v>212.0</v>
      </c>
      <c r="R348" s="42">
        <v>212.0</v>
      </c>
      <c r="S348" s="111"/>
      <c r="T348" s="111"/>
      <c r="U348" s="111"/>
      <c r="V348" s="111"/>
      <c r="W348" s="111"/>
      <c r="X348" s="111"/>
      <c r="Y348" s="111"/>
    </row>
    <row r="349" ht="14.25" customHeight="1">
      <c r="B349" s="39"/>
      <c r="C349" s="340"/>
      <c r="D349" s="5" t="s">
        <v>368</v>
      </c>
      <c r="E349" s="341"/>
      <c r="F349" s="77"/>
      <c r="G349" s="77"/>
      <c r="H349" s="77"/>
      <c r="I349" s="42">
        <v>74.0</v>
      </c>
      <c r="J349" s="110" t="s">
        <v>98</v>
      </c>
      <c r="K349" s="42">
        <v>0.0</v>
      </c>
      <c r="L349" s="42">
        <v>0.0</v>
      </c>
      <c r="M349" s="42">
        <v>54.0</v>
      </c>
      <c r="N349" s="42">
        <v>74.0</v>
      </c>
      <c r="O349" s="42">
        <v>0.0</v>
      </c>
      <c r="P349" s="42">
        <v>0.0</v>
      </c>
      <c r="Q349" s="42">
        <v>53.0</v>
      </c>
      <c r="R349" s="42">
        <v>72.0</v>
      </c>
      <c r="S349" s="111"/>
      <c r="T349" s="111"/>
      <c r="U349" s="111"/>
      <c r="V349" s="111"/>
      <c r="W349" s="111"/>
      <c r="X349" s="111"/>
      <c r="Y349" s="111"/>
    </row>
    <row r="350" ht="14.25" customHeight="1">
      <c r="B350" s="39"/>
      <c r="C350" s="109" t="s">
        <v>371</v>
      </c>
      <c r="D350" s="339"/>
      <c r="E350" s="77"/>
      <c r="F350" s="77"/>
      <c r="G350" s="77"/>
      <c r="H350" s="77"/>
      <c r="I350" s="42">
        <f>SUM(I351:I353)</f>
        <v>48</v>
      </c>
      <c r="J350" s="110" t="s">
        <v>98</v>
      </c>
      <c r="K350" s="42">
        <f t="shared" ref="K350:R350" si="326">SUM(K351:K353)</f>
        <v>11</v>
      </c>
      <c r="L350" s="42">
        <f t="shared" si="326"/>
        <v>30</v>
      </c>
      <c r="M350" s="42">
        <f t="shared" si="326"/>
        <v>40</v>
      </c>
      <c r="N350" s="42">
        <f t="shared" si="326"/>
        <v>46</v>
      </c>
      <c r="O350" s="42">
        <f t="shared" si="326"/>
        <v>11</v>
      </c>
      <c r="P350" s="42">
        <f t="shared" si="326"/>
        <v>26</v>
      </c>
      <c r="Q350" s="42">
        <f t="shared" si="326"/>
        <v>34</v>
      </c>
      <c r="R350" s="42">
        <f t="shared" si="326"/>
        <v>43</v>
      </c>
      <c r="S350" s="111"/>
      <c r="T350" s="111"/>
      <c r="U350" s="111"/>
      <c r="V350" s="111"/>
      <c r="W350" s="111"/>
      <c r="X350" s="111"/>
      <c r="Y350" s="111"/>
    </row>
    <row r="351" ht="14.25" customHeight="1">
      <c r="B351" s="39"/>
      <c r="C351" s="340"/>
      <c r="D351" s="5" t="s">
        <v>372</v>
      </c>
      <c r="E351" s="341"/>
      <c r="F351" s="77"/>
      <c r="G351" s="77"/>
      <c r="H351" s="77"/>
      <c r="I351" s="42">
        <v>15.0</v>
      </c>
      <c r="J351" s="110" t="s">
        <v>98</v>
      </c>
      <c r="K351" s="42">
        <v>0.0</v>
      </c>
      <c r="L351" s="42">
        <v>5.0</v>
      </c>
      <c r="M351" s="42">
        <v>7.0</v>
      </c>
      <c r="N351" s="42">
        <v>13.0</v>
      </c>
      <c r="O351" s="42">
        <v>0.0</v>
      </c>
      <c r="P351" s="42">
        <v>1.0</v>
      </c>
      <c r="Q351" s="42">
        <v>4.0</v>
      </c>
      <c r="R351" s="42">
        <v>10.0</v>
      </c>
      <c r="S351" s="111"/>
      <c r="T351" s="111"/>
      <c r="U351" s="111"/>
      <c r="V351" s="111"/>
      <c r="W351" s="111"/>
      <c r="X351" s="111"/>
      <c r="Y351" s="111"/>
    </row>
    <row r="352" ht="14.25" customHeight="1">
      <c r="B352" s="39"/>
      <c r="C352" s="340"/>
      <c r="D352" s="5" t="s">
        <v>373</v>
      </c>
      <c r="E352" s="341"/>
      <c r="F352" s="77"/>
      <c r="G352" s="77"/>
      <c r="H352" s="77"/>
      <c r="I352" s="42">
        <v>11.0</v>
      </c>
      <c r="J352" s="110" t="s">
        <v>98</v>
      </c>
      <c r="K352" s="42">
        <v>11.0</v>
      </c>
      <c r="L352" s="42">
        <v>11.0</v>
      </c>
      <c r="M352" s="42">
        <v>11.0</v>
      </c>
      <c r="N352" s="42">
        <v>11.0</v>
      </c>
      <c r="O352" s="42">
        <v>11.0</v>
      </c>
      <c r="P352" s="42">
        <v>11.0</v>
      </c>
      <c r="Q352" s="42">
        <v>11.0</v>
      </c>
      <c r="R352" s="42">
        <v>11.0</v>
      </c>
      <c r="S352" s="111"/>
      <c r="T352" s="111"/>
      <c r="U352" s="111"/>
      <c r="V352" s="111"/>
      <c r="W352" s="111"/>
      <c r="X352" s="111"/>
      <c r="Y352" s="111"/>
    </row>
    <row r="353" ht="14.25" customHeight="1">
      <c r="B353" s="39"/>
      <c r="C353" s="340"/>
      <c r="D353" s="5" t="s">
        <v>460</v>
      </c>
      <c r="E353" s="341"/>
      <c r="F353" s="77"/>
      <c r="G353" s="77"/>
      <c r="H353" s="77"/>
      <c r="I353" s="42">
        <v>22.0</v>
      </c>
      <c r="J353" s="110" t="s">
        <v>98</v>
      </c>
      <c r="K353" s="42">
        <v>0.0</v>
      </c>
      <c r="L353" s="42">
        <v>14.0</v>
      </c>
      <c r="M353" s="42">
        <v>22.0</v>
      </c>
      <c r="N353" s="42">
        <v>22.0</v>
      </c>
      <c r="O353" s="42">
        <v>0.0</v>
      </c>
      <c r="P353" s="42">
        <v>14.0</v>
      </c>
      <c r="Q353" s="42">
        <v>19.0</v>
      </c>
      <c r="R353" s="42">
        <v>22.0</v>
      </c>
      <c r="S353" s="111"/>
      <c r="T353" s="111"/>
      <c r="U353" s="111"/>
      <c r="V353" s="111"/>
      <c r="W353" s="111"/>
      <c r="X353" s="111"/>
      <c r="Y353" s="111"/>
    </row>
    <row r="354" ht="14.25" customHeight="1">
      <c r="B354" s="39" t="s">
        <v>374</v>
      </c>
      <c r="C354" s="39"/>
      <c r="D354" s="77"/>
      <c r="E354" s="77"/>
      <c r="F354" s="77"/>
      <c r="G354" s="77"/>
      <c r="H354" s="77"/>
      <c r="I354" s="159"/>
      <c r="J354" s="103" t="s">
        <v>35</v>
      </c>
      <c r="K354" s="143">
        <v>10.504794134235757</v>
      </c>
      <c r="L354" s="143">
        <v>61.36844331641286</v>
      </c>
      <c r="M354" s="143">
        <v>85.48716864072195</v>
      </c>
      <c r="N354" s="143">
        <v>97.94486745628876</v>
      </c>
      <c r="O354" s="42">
        <v>10.23</v>
      </c>
      <c r="P354" s="42">
        <v>60.0</v>
      </c>
      <c r="Q354" s="42">
        <v>81.51</v>
      </c>
      <c r="R354" s="42">
        <v>95.93</v>
      </c>
      <c r="S354" s="46">
        <f t="shared" ref="S354:U354" si="327">IF(K354=0,0,IF((O354/K354*100)&gt;120,120,O354/K354*100))</f>
        <v>97.38410738</v>
      </c>
      <c r="T354" s="46">
        <f t="shared" si="327"/>
        <v>97.7701189</v>
      </c>
      <c r="U354" s="46">
        <f t="shared" si="327"/>
        <v>95.34764257</v>
      </c>
      <c r="V354" s="46">
        <f t="shared" ref="V354:Y354" si="328">IF($N354=0,0,IF((O354/$N354*100)&gt;120,120,O354/$N354*100))</f>
        <v>10.44465143</v>
      </c>
      <c r="W354" s="46">
        <f t="shared" si="328"/>
        <v>61.25895267</v>
      </c>
      <c r="X354" s="46">
        <f t="shared" si="328"/>
        <v>83.22028721</v>
      </c>
      <c r="Y354" s="46">
        <f t="shared" si="328"/>
        <v>97.9428555</v>
      </c>
    </row>
    <row r="355" ht="14.25" customHeight="1">
      <c r="B355" s="39"/>
      <c r="C355" s="39"/>
      <c r="D355" s="39"/>
      <c r="E355" s="39"/>
      <c r="F355" s="39"/>
      <c r="G355" s="39"/>
      <c r="H355" s="39"/>
      <c r="I355" s="39"/>
      <c r="J355" s="39"/>
      <c r="K355" s="39"/>
      <c r="L355" s="39"/>
      <c r="M355" s="39"/>
      <c r="N355" s="39"/>
      <c r="O355" s="39"/>
      <c r="P355" s="39"/>
      <c r="Q355" s="39"/>
      <c r="R355" s="39"/>
      <c r="S355" s="39"/>
      <c r="T355" s="39"/>
      <c r="U355" s="39"/>
      <c r="V355" s="39"/>
      <c r="W355" s="39"/>
      <c r="X355" s="39"/>
      <c r="Y355" s="39"/>
    </row>
    <row r="356" ht="14.25" customHeight="1">
      <c r="B356" s="330"/>
      <c r="C356" s="331"/>
      <c r="D356" s="332"/>
      <c r="E356" s="332"/>
      <c r="F356" s="332"/>
      <c r="G356" s="333" t="s">
        <v>461</v>
      </c>
      <c r="H356" s="332"/>
      <c r="I356" s="332"/>
      <c r="J356" s="332"/>
      <c r="K356" s="334"/>
      <c r="L356" s="334"/>
      <c r="M356" s="334"/>
      <c r="N356" s="334"/>
      <c r="O356" s="334"/>
      <c r="P356" s="334"/>
      <c r="Q356" s="334"/>
      <c r="R356" s="334"/>
      <c r="S356" s="335">
        <f t="shared" ref="S356:U356" si="329">IF(SUM(K326:K335,K354)&gt;0,SUM(S326:S335,S354)/SUM(COUNTIF(K326:K335,"&gt;0"),COUNTIF(K354,"&gt;0")),0)</f>
        <v>99.12803579</v>
      </c>
      <c r="T356" s="335">
        <f t="shared" si="329"/>
        <v>99.82579523</v>
      </c>
      <c r="U356" s="335">
        <f t="shared" si="329"/>
        <v>98.83715891</v>
      </c>
      <c r="V356" s="335">
        <f t="shared" ref="V356:Y356" si="330">IF(SUM($N326:$N355)&gt;0,SUM(V326:V355)/COUNTIF($N326:$N355,"&gt;0"),0)</f>
        <v>1.648991679</v>
      </c>
      <c r="W356" s="335">
        <f t="shared" si="330"/>
        <v>13.96823809</v>
      </c>
      <c r="X356" s="335">
        <f t="shared" si="330"/>
        <v>24.09968098</v>
      </c>
      <c r="Y356" s="335">
        <f t="shared" si="330"/>
        <v>35.51854671</v>
      </c>
    </row>
    <row r="357" ht="14.25" customHeight="1">
      <c r="A357" s="5" t="s">
        <v>376</v>
      </c>
      <c r="V357" s="244">
        <f>SUM(V327:V354)/3</f>
        <v>15.390589</v>
      </c>
      <c r="W357" s="244">
        <f t="shared" ref="W357:X357" si="331">SUM(W327:W354)/8</f>
        <v>48.88883331</v>
      </c>
      <c r="X357" s="244">
        <f t="shared" si="331"/>
        <v>84.34888344</v>
      </c>
      <c r="Y357" s="244">
        <f>SUM(Y327:Y354)/10</f>
        <v>99.4519308</v>
      </c>
    </row>
    <row r="358" ht="14.25" customHeight="1"/>
    <row r="359" ht="14.25" customHeight="1">
      <c r="B359" s="4" t="s">
        <v>377</v>
      </c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6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</row>
    <row r="360" ht="15.75" customHeight="1">
      <c r="B360" s="187" t="s">
        <v>2</v>
      </c>
      <c r="C360" s="8"/>
      <c r="D360" s="8"/>
      <c r="E360" s="8"/>
      <c r="F360" s="8"/>
      <c r="G360" s="8"/>
      <c r="H360" s="8"/>
      <c r="I360" s="343"/>
      <c r="J360" s="189" t="s">
        <v>3</v>
      </c>
      <c r="K360" s="11"/>
      <c r="L360" s="11"/>
      <c r="M360" s="11"/>
      <c r="N360" s="11"/>
      <c r="O360" s="11"/>
      <c r="P360" s="11"/>
      <c r="Q360" s="11"/>
      <c r="R360" s="12"/>
      <c r="S360" s="189" t="s">
        <v>4</v>
      </c>
      <c r="T360" s="11"/>
      <c r="U360" s="11"/>
      <c r="V360" s="11"/>
      <c r="W360" s="11"/>
      <c r="X360" s="11"/>
      <c r="Y360" s="12"/>
    </row>
    <row r="361" ht="14.25" customHeight="1">
      <c r="B361" s="13"/>
      <c r="I361" s="92"/>
      <c r="J361" s="190" t="s">
        <v>5</v>
      </c>
      <c r="K361" s="191" t="s">
        <v>62</v>
      </c>
      <c r="L361" s="17"/>
      <c r="M361" s="17"/>
      <c r="N361" s="18"/>
      <c r="O361" s="191" t="s">
        <v>63</v>
      </c>
      <c r="P361" s="17"/>
      <c r="Q361" s="17"/>
      <c r="R361" s="18"/>
      <c r="S361" s="191" t="s">
        <v>64</v>
      </c>
      <c r="T361" s="17"/>
      <c r="U361" s="18"/>
      <c r="V361" s="191" t="s">
        <v>9</v>
      </c>
      <c r="W361" s="17"/>
      <c r="X361" s="17"/>
      <c r="Y361" s="18"/>
    </row>
    <row r="362" ht="14.25" customHeight="1">
      <c r="B362" s="19"/>
      <c r="C362" s="20"/>
      <c r="D362" s="20"/>
      <c r="E362" s="20"/>
      <c r="F362" s="20"/>
      <c r="G362" s="20"/>
      <c r="H362" s="20"/>
      <c r="I362" s="21"/>
      <c r="J362" s="22"/>
      <c r="K362" s="192" t="s">
        <v>10</v>
      </c>
      <c r="L362" s="192" t="s">
        <v>11</v>
      </c>
      <c r="M362" s="192" t="s">
        <v>12</v>
      </c>
      <c r="N362" s="192" t="s">
        <v>13</v>
      </c>
      <c r="O362" s="192" t="s">
        <v>10</v>
      </c>
      <c r="P362" s="192" t="s">
        <v>11</v>
      </c>
      <c r="Q362" s="192" t="s">
        <v>12</v>
      </c>
      <c r="R362" s="192" t="s">
        <v>13</v>
      </c>
      <c r="S362" s="192" t="s">
        <v>10</v>
      </c>
      <c r="T362" s="192" t="s">
        <v>11</v>
      </c>
      <c r="U362" s="192" t="s">
        <v>12</v>
      </c>
      <c r="V362" s="192" t="s">
        <v>10</v>
      </c>
      <c r="W362" s="192" t="s">
        <v>11</v>
      </c>
      <c r="X362" s="192" t="s">
        <v>12</v>
      </c>
      <c r="Y362" s="192" t="s">
        <v>13</v>
      </c>
    </row>
    <row r="363" ht="14.25" customHeight="1">
      <c r="B363" s="194">
        <v>-1.0</v>
      </c>
      <c r="C363" s="27"/>
      <c r="D363" s="27"/>
      <c r="E363" s="27"/>
      <c r="F363" s="27"/>
      <c r="G363" s="27"/>
      <c r="H363" s="27"/>
      <c r="I363" s="344"/>
      <c r="J363" s="195">
        <v>-2.0</v>
      </c>
      <c r="K363" s="195">
        <v>-3.0</v>
      </c>
      <c r="L363" s="195">
        <v>-4.0</v>
      </c>
      <c r="M363" s="195">
        <v>-5.0</v>
      </c>
      <c r="N363" s="195">
        <v>-6.0</v>
      </c>
      <c r="O363" s="195">
        <v>-7.0</v>
      </c>
      <c r="P363" s="195">
        <v>-8.0</v>
      </c>
      <c r="Q363" s="195">
        <v>-9.0</v>
      </c>
      <c r="R363" s="195">
        <v>-10.0</v>
      </c>
      <c r="S363" s="195">
        <v>-11.0</v>
      </c>
      <c r="T363" s="195">
        <v>-12.0</v>
      </c>
      <c r="U363" s="195">
        <v>-13.0</v>
      </c>
      <c r="V363" s="195">
        <v>-14.0</v>
      </c>
      <c r="W363" s="195">
        <v>-15.0</v>
      </c>
      <c r="X363" s="195">
        <v>-16.0</v>
      </c>
      <c r="Y363" s="195">
        <v>-17.0</v>
      </c>
    </row>
    <row r="364" ht="14.25" customHeight="1">
      <c r="B364" s="35"/>
      <c r="C364" s="35"/>
      <c r="D364" s="35"/>
      <c r="E364" s="35"/>
      <c r="F364" s="35"/>
      <c r="G364" s="35"/>
      <c r="H364" s="35"/>
      <c r="I364" s="35"/>
      <c r="J364" s="35"/>
      <c r="K364" s="35"/>
      <c r="L364" s="35"/>
      <c r="M364" s="35"/>
      <c r="N364" s="35"/>
      <c r="O364" s="35"/>
      <c r="P364" s="35"/>
      <c r="Q364" s="35"/>
      <c r="R364" s="35"/>
      <c r="S364" s="35"/>
      <c r="T364" s="35"/>
      <c r="U364" s="35"/>
      <c r="V364" s="35"/>
      <c r="W364" s="35"/>
      <c r="X364" s="35"/>
      <c r="Y364" s="35"/>
    </row>
    <row r="365" ht="14.25" customHeight="1">
      <c r="B365" s="77" t="s">
        <v>378</v>
      </c>
      <c r="C365" s="77"/>
      <c r="D365" s="77"/>
      <c r="E365" s="77"/>
      <c r="F365" s="77"/>
      <c r="G365" s="77"/>
      <c r="H365" s="77"/>
      <c r="I365" s="345">
        <v>2.0</v>
      </c>
      <c r="J365" s="103" t="s">
        <v>85</v>
      </c>
      <c r="K365" s="346">
        <v>0.0</v>
      </c>
      <c r="L365" s="39">
        <f t="shared" ref="L365:R365" si="332">SUM(L366:L367)</f>
        <v>1</v>
      </c>
      <c r="M365" s="60">
        <f t="shared" si="332"/>
        <v>1</v>
      </c>
      <c r="N365" s="347">
        <f t="shared" si="332"/>
        <v>2</v>
      </c>
      <c r="O365" s="62">
        <f t="shared" si="332"/>
        <v>0</v>
      </c>
      <c r="P365" s="39">
        <f t="shared" si="332"/>
        <v>1</v>
      </c>
      <c r="Q365" s="39">
        <f t="shared" si="332"/>
        <v>1</v>
      </c>
      <c r="R365" s="39">
        <f t="shared" si="332"/>
        <v>2</v>
      </c>
      <c r="S365" s="46">
        <f t="shared" ref="S365:U365" si="333">IF(K365=0,0,IF((O365/K365*100)&gt;120,120,O365/K365*100))</f>
        <v>0</v>
      </c>
      <c r="T365" s="46">
        <f t="shared" si="333"/>
        <v>100</v>
      </c>
      <c r="U365" s="46">
        <f t="shared" si="333"/>
        <v>100</v>
      </c>
      <c r="V365" s="46">
        <f t="shared" ref="V365:Y365" si="334">IF($N365=0,0,IF((O365/$N365*100)&gt;120,120,O365/$N365*100))</f>
        <v>0</v>
      </c>
      <c r="W365" s="46">
        <f t="shared" si="334"/>
        <v>50</v>
      </c>
      <c r="X365" s="46">
        <f t="shared" si="334"/>
        <v>50</v>
      </c>
      <c r="Y365" s="46">
        <f t="shared" si="334"/>
        <v>100</v>
      </c>
    </row>
    <row r="366" ht="14.25" customHeight="1">
      <c r="B366" s="77"/>
      <c r="C366" s="77" t="s">
        <v>379</v>
      </c>
      <c r="D366" s="77"/>
      <c r="E366" s="77"/>
      <c r="F366" s="77"/>
      <c r="G366" s="77"/>
      <c r="H366" s="77"/>
      <c r="I366" s="345">
        <v>2.0</v>
      </c>
      <c r="J366" s="110" t="s">
        <v>87</v>
      </c>
      <c r="K366" s="310">
        <v>0.0</v>
      </c>
      <c r="L366" s="42">
        <v>1.0</v>
      </c>
      <c r="M366" s="42">
        <v>1.0</v>
      </c>
      <c r="N366" s="42">
        <v>2.0</v>
      </c>
      <c r="O366" s="42">
        <v>0.0</v>
      </c>
      <c r="P366" s="42">
        <v>1.0</v>
      </c>
      <c r="Q366" s="42">
        <v>1.0</v>
      </c>
      <c r="R366" s="42">
        <v>2.0</v>
      </c>
      <c r="S366" s="46">
        <f t="shared" ref="S366:U366" si="335">IF(K366=0,0,IF((O366/K366*100)&gt;120,120,O366/K366*100))</f>
        <v>0</v>
      </c>
      <c r="T366" s="46">
        <f t="shared" si="335"/>
        <v>100</v>
      </c>
      <c r="U366" s="46">
        <f t="shared" si="335"/>
        <v>100</v>
      </c>
      <c r="V366" s="46">
        <f t="shared" ref="V366:Y366" si="336">IF($N366=0,0,IF((O366/$N366*100)&gt;120,120,O366/$N366*100))</f>
        <v>0</v>
      </c>
      <c r="W366" s="46">
        <f t="shared" si="336"/>
        <v>50</v>
      </c>
      <c r="X366" s="46">
        <f t="shared" si="336"/>
        <v>50</v>
      </c>
      <c r="Y366" s="46">
        <f t="shared" si="336"/>
        <v>100</v>
      </c>
    </row>
    <row r="367" ht="14.25" customHeight="1">
      <c r="B367" s="77"/>
      <c r="C367" s="77" t="s">
        <v>380</v>
      </c>
      <c r="D367" s="77"/>
      <c r="E367" s="77"/>
      <c r="F367" s="77"/>
      <c r="G367" s="77"/>
      <c r="H367" s="77"/>
      <c r="I367" s="345">
        <v>0.0</v>
      </c>
      <c r="J367" s="110" t="s">
        <v>66</v>
      </c>
      <c r="K367" s="310">
        <v>0.0</v>
      </c>
      <c r="L367" s="310">
        <v>0.0</v>
      </c>
      <c r="M367" s="310">
        <v>0.0</v>
      </c>
      <c r="N367" s="310">
        <v>0.0</v>
      </c>
      <c r="O367" s="42">
        <v>0.0</v>
      </c>
      <c r="P367" s="42">
        <v>0.0</v>
      </c>
      <c r="Q367" s="42">
        <v>0.0</v>
      </c>
      <c r="R367" s="42">
        <v>0.0</v>
      </c>
      <c r="S367" s="46">
        <f t="shared" ref="S367:U367" si="337">IF(K367=0,0,IF((O367/K367*100)&gt;120,120,O367/K367*100))</f>
        <v>0</v>
      </c>
      <c r="T367" s="46">
        <f t="shared" si="337"/>
        <v>0</v>
      </c>
      <c r="U367" s="46">
        <f t="shared" si="337"/>
        <v>0</v>
      </c>
      <c r="V367" s="46">
        <f t="shared" ref="V367:Y367" si="338">IF($N367=0,0,IF((O367/$N367*100)&gt;120,120,O367/$N367*100))</f>
        <v>0</v>
      </c>
      <c r="W367" s="46">
        <f t="shared" si="338"/>
        <v>0</v>
      </c>
      <c r="X367" s="46">
        <f t="shared" si="338"/>
        <v>0</v>
      </c>
      <c r="Y367" s="46">
        <f t="shared" si="338"/>
        <v>0</v>
      </c>
    </row>
    <row r="368" ht="14.25" customHeight="1">
      <c r="B368" s="77" t="s">
        <v>381</v>
      </c>
      <c r="C368" s="77"/>
      <c r="D368" s="77"/>
      <c r="E368" s="77"/>
      <c r="F368" s="77"/>
      <c r="G368" s="77"/>
      <c r="H368" s="77"/>
      <c r="I368" s="345"/>
      <c r="J368" s="103" t="s">
        <v>85</v>
      </c>
      <c r="K368" s="346">
        <v>0.0</v>
      </c>
      <c r="L368" s="39">
        <f t="shared" ref="L368:R368" si="339">SUM(L369:L370)</f>
        <v>1</v>
      </c>
      <c r="M368" s="60">
        <f t="shared" si="339"/>
        <v>1</v>
      </c>
      <c r="N368" s="347">
        <f t="shared" si="339"/>
        <v>1</v>
      </c>
      <c r="O368" s="62">
        <f t="shared" si="339"/>
        <v>0</v>
      </c>
      <c r="P368" s="39">
        <f t="shared" si="339"/>
        <v>1</v>
      </c>
      <c r="Q368" s="39">
        <f t="shared" si="339"/>
        <v>1</v>
      </c>
      <c r="R368" s="39">
        <f t="shared" si="339"/>
        <v>1</v>
      </c>
      <c r="S368" s="46">
        <f t="shared" ref="S368:U368" si="340">IF(K368=0,0,IF((O368/K368*100)&gt;120,120,O368/K368*100))</f>
        <v>0</v>
      </c>
      <c r="T368" s="46">
        <f t="shared" si="340"/>
        <v>100</v>
      </c>
      <c r="U368" s="46">
        <f t="shared" si="340"/>
        <v>100</v>
      </c>
      <c r="V368" s="46">
        <f t="shared" ref="V368:Y368" si="341">IF($N368=0,0,IF((O368/$N368*100)&gt;120,120,O368/$N368*100))</f>
        <v>0</v>
      </c>
      <c r="W368" s="46">
        <f t="shared" si="341"/>
        <v>100</v>
      </c>
      <c r="X368" s="46">
        <f t="shared" si="341"/>
        <v>100</v>
      </c>
      <c r="Y368" s="46">
        <f t="shared" si="341"/>
        <v>100</v>
      </c>
    </row>
    <row r="369" ht="14.25" customHeight="1">
      <c r="B369" s="77"/>
      <c r="C369" s="77" t="s">
        <v>382</v>
      </c>
      <c r="D369" s="77"/>
      <c r="E369" s="77"/>
      <c r="F369" s="77"/>
      <c r="G369" s="77"/>
      <c r="H369" s="77"/>
      <c r="I369" s="345">
        <v>1.0</v>
      </c>
      <c r="J369" s="110" t="s">
        <v>87</v>
      </c>
      <c r="K369" s="310">
        <v>0.0</v>
      </c>
      <c r="L369" s="42">
        <v>1.0</v>
      </c>
      <c r="M369" s="42">
        <v>1.0</v>
      </c>
      <c r="N369" s="42">
        <v>1.0</v>
      </c>
      <c r="O369" s="42">
        <v>0.0</v>
      </c>
      <c r="P369" s="42">
        <v>1.0</v>
      </c>
      <c r="Q369" s="42">
        <v>1.0</v>
      </c>
      <c r="R369" s="42">
        <v>1.0</v>
      </c>
      <c r="S369" s="46">
        <f t="shared" ref="S369:U369" si="342">IF(K369=0,0,IF((O369/K369*100)&gt;120,120,O369/K369*100))</f>
        <v>0</v>
      </c>
      <c r="T369" s="46">
        <f t="shared" si="342"/>
        <v>100</v>
      </c>
      <c r="U369" s="46">
        <f t="shared" si="342"/>
        <v>100</v>
      </c>
      <c r="V369" s="46">
        <f t="shared" ref="V369:Y369" si="343">IF($N369=0,0,IF((O369/$N369*100)&gt;120,120,O369/$N369*100))</f>
        <v>0</v>
      </c>
      <c r="W369" s="46">
        <f t="shared" si="343"/>
        <v>100</v>
      </c>
      <c r="X369" s="46">
        <f t="shared" si="343"/>
        <v>100</v>
      </c>
      <c r="Y369" s="46">
        <f t="shared" si="343"/>
        <v>100</v>
      </c>
    </row>
    <row r="370" ht="14.25" customHeight="1">
      <c r="B370" s="77"/>
      <c r="C370" s="77" t="s">
        <v>383</v>
      </c>
      <c r="D370" s="77"/>
      <c r="E370" s="77"/>
      <c r="F370" s="77"/>
      <c r="G370" s="77"/>
      <c r="H370" s="77"/>
      <c r="I370" s="345">
        <v>0.0</v>
      </c>
      <c r="J370" s="110" t="s">
        <v>66</v>
      </c>
      <c r="K370" s="310">
        <v>0.0</v>
      </c>
      <c r="L370" s="310">
        <v>0.0</v>
      </c>
      <c r="M370" s="310">
        <v>0.0</v>
      </c>
      <c r="N370" s="310">
        <v>0.0</v>
      </c>
      <c r="O370" s="42">
        <v>0.0</v>
      </c>
      <c r="P370" s="42">
        <v>0.0</v>
      </c>
      <c r="Q370" s="42">
        <v>0.0</v>
      </c>
      <c r="R370" s="42">
        <v>0.0</v>
      </c>
      <c r="S370" s="46">
        <f t="shared" ref="S370:U370" si="344">IF(K370=0,0,IF((O370/K370*100)&gt;120,120,O370/K370*100))</f>
        <v>0</v>
      </c>
      <c r="T370" s="46">
        <f t="shared" si="344"/>
        <v>0</v>
      </c>
      <c r="U370" s="46">
        <f t="shared" si="344"/>
        <v>0</v>
      </c>
      <c r="V370" s="46">
        <f t="shared" ref="V370:Y370" si="345">IF($N370=0,0,IF((O370/$N370*100)&gt;120,120,O370/$N370*100))</f>
        <v>0</v>
      </c>
      <c r="W370" s="46">
        <f t="shared" si="345"/>
        <v>0</v>
      </c>
      <c r="X370" s="46">
        <f t="shared" si="345"/>
        <v>0</v>
      </c>
      <c r="Y370" s="46">
        <f t="shared" si="345"/>
        <v>0</v>
      </c>
    </row>
    <row r="371" ht="14.25" customHeight="1">
      <c r="B371" s="77" t="s">
        <v>384</v>
      </c>
      <c r="C371" s="77"/>
      <c r="D371" s="77"/>
      <c r="E371" s="77"/>
      <c r="F371" s="77"/>
      <c r="G371" s="77"/>
      <c r="H371" s="77"/>
      <c r="I371" s="345">
        <v>0.0</v>
      </c>
      <c r="J371" s="103" t="s">
        <v>87</v>
      </c>
      <c r="K371" s="310">
        <v>0.0</v>
      </c>
      <c r="L371" s="310">
        <v>0.0</v>
      </c>
      <c r="M371" s="310">
        <v>0.0</v>
      </c>
      <c r="N371" s="310">
        <v>0.0</v>
      </c>
      <c r="O371" s="42">
        <v>0.0</v>
      </c>
      <c r="P371" s="42">
        <v>0.0</v>
      </c>
      <c r="Q371" s="42">
        <v>0.0</v>
      </c>
      <c r="R371" s="42">
        <v>0.0</v>
      </c>
      <c r="S371" s="46">
        <f t="shared" ref="S371:U371" si="346">IF(K371=0,0,IF((O371/K371*100)&gt;120,120,O371/K371*100))</f>
        <v>0</v>
      </c>
      <c r="T371" s="46">
        <f t="shared" si="346"/>
        <v>0</v>
      </c>
      <c r="U371" s="46">
        <f t="shared" si="346"/>
        <v>0</v>
      </c>
      <c r="V371" s="46">
        <f t="shared" ref="V371:Y371" si="347">IF($N371=0,0,IF((O371/$N371*100)&gt;120,120,O371/$N371*100))</f>
        <v>0</v>
      </c>
      <c r="W371" s="46">
        <f t="shared" si="347"/>
        <v>0</v>
      </c>
      <c r="X371" s="46">
        <f t="shared" si="347"/>
        <v>0</v>
      </c>
      <c r="Y371" s="46">
        <f t="shared" si="347"/>
        <v>0</v>
      </c>
    </row>
    <row r="372" ht="14.25" customHeight="1">
      <c r="B372" s="77" t="s">
        <v>385</v>
      </c>
      <c r="C372" s="77"/>
      <c r="D372" s="77"/>
      <c r="E372" s="77"/>
      <c r="F372" s="77"/>
      <c r="G372" s="77"/>
      <c r="H372" s="77"/>
      <c r="I372" s="345">
        <v>4.0</v>
      </c>
      <c r="J372" s="103" t="s">
        <v>95</v>
      </c>
      <c r="K372" s="348">
        <v>1.0</v>
      </c>
      <c r="L372" s="135">
        <v>2.0</v>
      </c>
      <c r="M372" s="135">
        <v>3.0</v>
      </c>
      <c r="N372" s="135">
        <v>4.0</v>
      </c>
      <c r="O372" s="135">
        <v>1.0</v>
      </c>
      <c r="P372" s="135">
        <v>2.0</v>
      </c>
      <c r="Q372" s="135">
        <v>3.0</v>
      </c>
      <c r="R372" s="135">
        <v>4.0</v>
      </c>
      <c r="S372" s="46">
        <f t="shared" ref="S372:U372" si="348">IF(K372=0,0,IF((O372/K372*100)&gt;120,120,O372/K372*100))</f>
        <v>100</v>
      </c>
      <c r="T372" s="46">
        <f t="shared" si="348"/>
        <v>100</v>
      </c>
      <c r="U372" s="46">
        <f t="shared" si="348"/>
        <v>100</v>
      </c>
      <c r="V372" s="46">
        <f t="shared" ref="V372:Y372" si="349">IF($N372=0,0,IF((O372/$N372*100)&gt;120,120,O372/$N372*100))</f>
        <v>25</v>
      </c>
      <c r="W372" s="46">
        <f t="shared" si="349"/>
        <v>50</v>
      </c>
      <c r="X372" s="46">
        <f t="shared" si="349"/>
        <v>75</v>
      </c>
      <c r="Y372" s="46">
        <f t="shared" si="349"/>
        <v>100</v>
      </c>
    </row>
    <row r="373" ht="14.25" customHeight="1">
      <c r="B373" s="77" t="s">
        <v>386</v>
      </c>
      <c r="C373" s="77"/>
      <c r="D373" s="77"/>
      <c r="E373" s="77"/>
      <c r="F373" s="77"/>
      <c r="G373" s="77"/>
      <c r="H373" s="77"/>
      <c r="I373" s="345"/>
      <c r="J373" s="103" t="s">
        <v>35</v>
      </c>
      <c r="K373" s="254">
        <f t="shared" ref="K373:N373" si="350">(SUM(K380,K386)/SUM($I380,$I386)*100)</f>
        <v>15.88170865</v>
      </c>
      <c r="L373" s="254">
        <f t="shared" si="350"/>
        <v>31.87294633</v>
      </c>
      <c r="M373" s="254">
        <f t="shared" si="350"/>
        <v>59.5837897</v>
      </c>
      <c r="N373" s="254">
        <f t="shared" si="350"/>
        <v>95.83789704</v>
      </c>
      <c r="O373" s="338">
        <f t="shared" ref="O373:Q373" si="351">IF($I374+$I380+$I386=0,0,AVERAGE(IF($I380&gt;0,O380/$I380*100,0),IF($I386&gt;0,O386/$I386*100,0)))</f>
        <v>19.55081888</v>
      </c>
      <c r="P373" s="338">
        <f t="shared" si="351"/>
        <v>39.10163776</v>
      </c>
      <c r="Q373" s="338">
        <f t="shared" si="351"/>
        <v>65.01083815</v>
      </c>
      <c r="R373" s="338">
        <f>IF($I380+$I386=0,0,AVERAGE(IF($I380&gt;0,R380/$I380*100,0),IF($I386&gt;0,R386/$I386*100,0)))</f>
        <v>109.3593449</v>
      </c>
      <c r="S373" s="46">
        <f t="shared" ref="S373:U373" si="352">IF(K373=0,0,IF((O373/K373*100)&gt;120,120,O373/K373*100))</f>
        <v>120</v>
      </c>
      <c r="T373" s="46">
        <f t="shared" si="352"/>
        <v>120</v>
      </c>
      <c r="U373" s="46">
        <f t="shared" si="352"/>
        <v>109.1082633</v>
      </c>
      <c r="V373" s="46">
        <f t="shared" ref="V373:Y373" si="353">IF($N373=0,0,IF((O373/$N373*100)&gt;120,120,O373/$N373*100))</f>
        <v>20.39988302</v>
      </c>
      <c r="W373" s="46">
        <f t="shared" si="353"/>
        <v>40.79976603</v>
      </c>
      <c r="X373" s="46">
        <f t="shared" si="353"/>
        <v>67.83416598</v>
      </c>
      <c r="Y373" s="46">
        <f t="shared" si="353"/>
        <v>114.108665</v>
      </c>
    </row>
    <row r="374" ht="14.25" customHeight="1">
      <c r="B374" s="77"/>
      <c r="C374" s="77" t="s">
        <v>387</v>
      </c>
      <c r="D374" s="77"/>
      <c r="E374" s="77"/>
      <c r="F374" s="77"/>
      <c r="G374" s="77"/>
      <c r="H374" s="77"/>
      <c r="I374" s="42"/>
      <c r="J374" s="110" t="s">
        <v>98</v>
      </c>
      <c r="K374" s="310">
        <v>0.0</v>
      </c>
      <c r="L374" s="42">
        <f t="shared" ref="L374:R374" si="354">SUM(L375:L379)</f>
        <v>0</v>
      </c>
      <c r="M374" s="42">
        <f t="shared" si="354"/>
        <v>0</v>
      </c>
      <c r="N374" s="42">
        <f t="shared" si="354"/>
        <v>0</v>
      </c>
      <c r="O374" s="42">
        <f t="shared" si="354"/>
        <v>0</v>
      </c>
      <c r="P374" s="42">
        <f t="shared" si="354"/>
        <v>0</v>
      </c>
      <c r="Q374" s="42">
        <f t="shared" si="354"/>
        <v>0</v>
      </c>
      <c r="R374" s="42">
        <f t="shared" si="354"/>
        <v>0</v>
      </c>
      <c r="S374" s="111"/>
      <c r="T374" s="111"/>
      <c r="U374" s="111"/>
      <c r="V374" s="111"/>
      <c r="W374" s="111"/>
      <c r="X374" s="111"/>
      <c r="Y374" s="111"/>
    </row>
    <row r="375" ht="14.25" customHeight="1">
      <c r="B375" s="39"/>
      <c r="C375" s="109"/>
      <c r="D375" s="77" t="s">
        <v>246</v>
      </c>
      <c r="E375" s="77"/>
      <c r="F375" s="77"/>
      <c r="G375" s="77"/>
      <c r="H375" s="77"/>
      <c r="I375" s="310"/>
      <c r="J375" s="110" t="s">
        <v>98</v>
      </c>
      <c r="K375" s="310">
        <v>0.0</v>
      </c>
      <c r="L375" s="310">
        <v>0.0</v>
      </c>
      <c r="M375" s="310">
        <v>0.0</v>
      </c>
      <c r="N375" s="310">
        <v>0.0</v>
      </c>
      <c r="O375" s="310">
        <v>0.0</v>
      </c>
      <c r="P375" s="42">
        <v>0.0</v>
      </c>
      <c r="Q375" s="42">
        <v>0.0</v>
      </c>
      <c r="R375" s="42"/>
      <c r="S375" s="111"/>
      <c r="T375" s="111"/>
      <c r="U375" s="111"/>
      <c r="V375" s="111"/>
      <c r="W375" s="111"/>
      <c r="X375" s="111"/>
      <c r="Y375" s="111"/>
    </row>
    <row r="376" ht="14.25" customHeight="1">
      <c r="B376" s="39"/>
      <c r="C376" s="109"/>
      <c r="D376" s="77" t="s">
        <v>246</v>
      </c>
      <c r="E376" s="77"/>
      <c r="F376" s="77"/>
      <c r="G376" s="77"/>
      <c r="H376" s="77"/>
      <c r="I376" s="310"/>
      <c r="J376" s="110" t="s">
        <v>98</v>
      </c>
      <c r="K376" s="310">
        <v>0.0</v>
      </c>
      <c r="L376" s="310">
        <v>0.0</v>
      </c>
      <c r="M376" s="310">
        <v>0.0</v>
      </c>
      <c r="N376" s="310">
        <v>0.0</v>
      </c>
      <c r="O376" s="310">
        <v>0.0</v>
      </c>
      <c r="P376" s="42">
        <v>0.0</v>
      </c>
      <c r="Q376" s="42">
        <v>0.0</v>
      </c>
      <c r="R376" s="42"/>
      <c r="S376" s="111"/>
      <c r="T376" s="111"/>
      <c r="U376" s="111"/>
      <c r="V376" s="111"/>
      <c r="W376" s="111"/>
      <c r="X376" s="111"/>
      <c r="Y376" s="111"/>
    </row>
    <row r="377" ht="14.25" customHeight="1">
      <c r="B377" s="39"/>
      <c r="C377" s="109"/>
      <c r="D377" s="77" t="s">
        <v>246</v>
      </c>
      <c r="E377" s="77"/>
      <c r="F377" s="77"/>
      <c r="G377" s="77"/>
      <c r="H377" s="77"/>
      <c r="I377" s="310"/>
      <c r="J377" s="110" t="s">
        <v>98</v>
      </c>
      <c r="K377" s="310">
        <v>0.0</v>
      </c>
      <c r="L377" s="310">
        <v>0.0</v>
      </c>
      <c r="M377" s="310">
        <v>0.0</v>
      </c>
      <c r="N377" s="310">
        <v>0.0</v>
      </c>
      <c r="O377" s="310">
        <v>0.0</v>
      </c>
      <c r="P377" s="42">
        <v>0.0</v>
      </c>
      <c r="Q377" s="42">
        <v>0.0</v>
      </c>
      <c r="R377" s="42"/>
      <c r="S377" s="111"/>
      <c r="T377" s="111"/>
      <c r="U377" s="111"/>
      <c r="V377" s="111"/>
      <c r="W377" s="111"/>
      <c r="X377" s="111"/>
      <c r="Y377" s="111"/>
    </row>
    <row r="378" ht="14.25" customHeight="1">
      <c r="B378" s="39"/>
      <c r="C378" s="109"/>
      <c r="D378" s="77" t="s">
        <v>246</v>
      </c>
      <c r="E378" s="77"/>
      <c r="F378" s="77"/>
      <c r="G378" s="77"/>
      <c r="H378" s="77"/>
      <c r="I378" s="310"/>
      <c r="J378" s="110" t="s">
        <v>98</v>
      </c>
      <c r="K378" s="310">
        <v>0.0</v>
      </c>
      <c r="L378" s="310">
        <v>0.0</v>
      </c>
      <c r="M378" s="310">
        <v>0.0</v>
      </c>
      <c r="N378" s="310">
        <v>0.0</v>
      </c>
      <c r="O378" s="310">
        <v>0.0</v>
      </c>
      <c r="P378" s="42">
        <v>0.0</v>
      </c>
      <c r="Q378" s="42">
        <v>0.0</v>
      </c>
      <c r="R378" s="42"/>
      <c r="S378" s="111"/>
      <c r="T378" s="111"/>
      <c r="U378" s="111"/>
      <c r="V378" s="111"/>
      <c r="W378" s="111"/>
      <c r="X378" s="111"/>
      <c r="Y378" s="111"/>
    </row>
    <row r="379" ht="14.25" customHeight="1">
      <c r="B379" s="39"/>
      <c r="C379" s="109"/>
      <c r="D379" s="77" t="s">
        <v>246</v>
      </c>
      <c r="E379" s="77"/>
      <c r="F379" s="77"/>
      <c r="G379" s="77"/>
      <c r="H379" s="77"/>
      <c r="I379" s="310"/>
      <c r="J379" s="110" t="s">
        <v>98</v>
      </c>
      <c r="K379" s="310">
        <v>0.0</v>
      </c>
      <c r="L379" s="310">
        <v>0.0</v>
      </c>
      <c r="M379" s="310">
        <v>0.0</v>
      </c>
      <c r="N379" s="310">
        <v>0.0</v>
      </c>
      <c r="O379" s="310">
        <v>0.0</v>
      </c>
      <c r="P379" s="42">
        <v>0.0</v>
      </c>
      <c r="Q379" s="42">
        <v>0.0</v>
      </c>
      <c r="R379" s="42"/>
      <c r="S379" s="111"/>
      <c r="T379" s="111"/>
      <c r="U379" s="111"/>
      <c r="V379" s="111"/>
      <c r="W379" s="111"/>
      <c r="X379" s="111"/>
      <c r="Y379" s="111"/>
    </row>
    <row r="380" ht="14.25" customHeight="1">
      <c r="B380" s="77"/>
      <c r="C380" s="77" t="s">
        <v>388</v>
      </c>
      <c r="D380" s="77"/>
      <c r="E380" s="77"/>
      <c r="F380" s="77"/>
      <c r="G380" s="77"/>
      <c r="H380" s="77"/>
      <c r="I380" s="42">
        <f>SUM(I381:I385)</f>
        <v>865</v>
      </c>
      <c r="J380" s="110" t="s">
        <v>98</v>
      </c>
      <c r="K380" s="42">
        <f t="shared" ref="K380:R380" si="355">SUM(K381:K385)</f>
        <v>135</v>
      </c>
      <c r="L380" s="42">
        <f t="shared" si="355"/>
        <v>271</v>
      </c>
      <c r="M380" s="42">
        <f t="shared" si="355"/>
        <v>512</v>
      </c>
      <c r="N380" s="42">
        <f t="shared" si="355"/>
        <v>831</v>
      </c>
      <c r="O380" s="42">
        <f t="shared" si="355"/>
        <v>140</v>
      </c>
      <c r="P380" s="42">
        <f t="shared" si="355"/>
        <v>280</v>
      </c>
      <c r="Q380" s="42">
        <f t="shared" si="355"/>
        <v>530</v>
      </c>
      <c r="R380" s="42">
        <f t="shared" si="355"/>
        <v>1099</v>
      </c>
      <c r="S380" s="111"/>
      <c r="T380" s="111"/>
      <c r="U380" s="111"/>
      <c r="V380" s="111"/>
      <c r="W380" s="111"/>
      <c r="X380" s="111"/>
      <c r="Y380" s="111"/>
    </row>
    <row r="381" ht="14.25" customHeight="1">
      <c r="B381" s="39"/>
      <c r="C381" s="109"/>
      <c r="D381" s="309" t="s">
        <v>389</v>
      </c>
      <c r="E381" s="77"/>
      <c r="F381" s="77"/>
      <c r="G381" s="77"/>
      <c r="H381" s="77"/>
      <c r="I381" s="310">
        <v>160.0</v>
      </c>
      <c r="J381" s="110" t="s">
        <v>98</v>
      </c>
      <c r="K381" s="310">
        <v>38.0</v>
      </c>
      <c r="L381" s="42">
        <v>76.0</v>
      </c>
      <c r="M381" s="42">
        <v>114.0</v>
      </c>
      <c r="N381" s="42">
        <v>155.0</v>
      </c>
      <c r="O381" s="310">
        <v>40.0</v>
      </c>
      <c r="P381" s="42">
        <v>80.0</v>
      </c>
      <c r="Q381" s="42">
        <v>120.0</v>
      </c>
      <c r="R381" s="42">
        <v>263.0</v>
      </c>
      <c r="S381" s="111"/>
      <c r="T381" s="111"/>
      <c r="U381" s="111"/>
      <c r="V381" s="111"/>
      <c r="W381" s="111"/>
      <c r="X381" s="111"/>
      <c r="Y381" s="111"/>
    </row>
    <row r="382" ht="14.25" customHeight="1">
      <c r="B382" s="39"/>
      <c r="C382" s="109"/>
      <c r="D382" s="309" t="s">
        <v>390</v>
      </c>
      <c r="E382" s="77"/>
      <c r="F382" s="77"/>
      <c r="G382" s="77"/>
      <c r="H382" s="77"/>
      <c r="I382" s="310">
        <v>400.0</v>
      </c>
      <c r="J382" s="110" t="s">
        <v>98</v>
      </c>
      <c r="K382" s="310">
        <v>97.0</v>
      </c>
      <c r="L382" s="42">
        <v>195.0</v>
      </c>
      <c r="M382" s="42">
        <v>293.0</v>
      </c>
      <c r="N382" s="42">
        <v>390.0</v>
      </c>
      <c r="O382" s="310">
        <v>100.0</v>
      </c>
      <c r="P382" s="42">
        <v>200.0</v>
      </c>
      <c r="Q382" s="42">
        <v>300.0</v>
      </c>
      <c r="R382" s="42">
        <v>450.0</v>
      </c>
      <c r="S382" s="111"/>
      <c r="T382" s="111"/>
      <c r="U382" s="111"/>
      <c r="V382" s="111"/>
      <c r="W382" s="111"/>
      <c r="X382" s="111"/>
      <c r="Y382" s="111"/>
    </row>
    <row r="383" ht="14.25" customHeight="1">
      <c r="B383" s="39"/>
      <c r="C383" s="109"/>
      <c r="D383" s="309" t="s">
        <v>391</v>
      </c>
      <c r="E383" s="77"/>
      <c r="F383" s="77"/>
      <c r="G383" s="77"/>
      <c r="H383" s="77"/>
      <c r="I383" s="310">
        <v>75.0</v>
      </c>
      <c r="J383" s="110" t="s">
        <v>98</v>
      </c>
      <c r="K383" s="310">
        <v>0.0</v>
      </c>
      <c r="L383" s="42">
        <v>0.0</v>
      </c>
      <c r="M383" s="42">
        <v>25.0</v>
      </c>
      <c r="N383" s="42">
        <v>68.0</v>
      </c>
      <c r="O383" s="310">
        <v>0.0</v>
      </c>
      <c r="P383" s="42">
        <v>0.0</v>
      </c>
      <c r="Q383" s="42">
        <v>26.0</v>
      </c>
      <c r="R383" s="42">
        <v>90.0</v>
      </c>
      <c r="S383" s="111"/>
      <c r="T383" s="111"/>
      <c r="U383" s="111"/>
      <c r="V383" s="111"/>
      <c r="W383" s="111"/>
      <c r="X383" s="111"/>
      <c r="Y383" s="111"/>
    </row>
    <row r="384" ht="14.25" customHeight="1">
      <c r="B384" s="39"/>
      <c r="C384" s="109"/>
      <c r="D384" s="309" t="s">
        <v>392</v>
      </c>
      <c r="E384" s="77"/>
      <c r="F384" s="77"/>
      <c r="G384" s="77"/>
      <c r="H384" s="77"/>
      <c r="I384" s="310">
        <v>50.0</v>
      </c>
      <c r="J384" s="110" t="s">
        <v>98</v>
      </c>
      <c r="K384" s="310">
        <v>0.0</v>
      </c>
      <c r="L384" s="42">
        <v>0.0</v>
      </c>
      <c r="M384" s="42">
        <v>20.0</v>
      </c>
      <c r="N384" s="42">
        <v>45.0</v>
      </c>
      <c r="O384" s="310">
        <v>0.0</v>
      </c>
      <c r="P384" s="42">
        <v>0.0</v>
      </c>
      <c r="Q384" s="42">
        <v>22.0</v>
      </c>
      <c r="R384" s="42">
        <v>69.0</v>
      </c>
      <c r="S384" s="111"/>
      <c r="T384" s="111"/>
      <c r="U384" s="111"/>
      <c r="V384" s="111"/>
      <c r="W384" s="111"/>
      <c r="X384" s="111"/>
      <c r="Y384" s="111"/>
    </row>
    <row r="385" ht="14.25" customHeight="1">
      <c r="B385" s="39"/>
      <c r="C385" s="109"/>
      <c r="D385" s="309" t="s">
        <v>393</v>
      </c>
      <c r="E385" s="77"/>
      <c r="F385" s="77"/>
      <c r="G385" s="77"/>
      <c r="H385" s="77"/>
      <c r="I385" s="310">
        <v>180.0</v>
      </c>
      <c r="J385" s="110" t="s">
        <v>98</v>
      </c>
      <c r="K385" s="310">
        <v>0.0</v>
      </c>
      <c r="L385" s="42">
        <v>0.0</v>
      </c>
      <c r="M385" s="42">
        <v>60.0</v>
      </c>
      <c r="N385" s="42">
        <v>173.0</v>
      </c>
      <c r="O385" s="310">
        <v>0.0</v>
      </c>
      <c r="P385" s="42">
        <v>0.0</v>
      </c>
      <c r="Q385" s="42">
        <v>62.0</v>
      </c>
      <c r="R385" s="42">
        <v>227.0</v>
      </c>
      <c r="S385" s="111"/>
      <c r="T385" s="111"/>
      <c r="U385" s="111"/>
      <c r="V385" s="111"/>
      <c r="W385" s="111"/>
      <c r="X385" s="111"/>
      <c r="Y385" s="111"/>
    </row>
    <row r="386" ht="14.25" customHeight="1">
      <c r="B386" s="77"/>
      <c r="C386" s="77" t="s">
        <v>394</v>
      </c>
      <c r="D386" s="77"/>
      <c r="E386" s="77"/>
      <c r="F386" s="77"/>
      <c r="G386" s="77"/>
      <c r="H386" s="77"/>
      <c r="I386" s="42">
        <f>SUM(I387:I391)</f>
        <v>48</v>
      </c>
      <c r="J386" s="110" t="s">
        <v>395</v>
      </c>
      <c r="K386" s="42">
        <f t="shared" ref="K386:Q386" si="356">SUM(K387:K391)</f>
        <v>10</v>
      </c>
      <c r="L386" s="42">
        <f t="shared" si="356"/>
        <v>20</v>
      </c>
      <c r="M386" s="42">
        <f t="shared" si="356"/>
        <v>32</v>
      </c>
      <c r="N386" s="42">
        <f t="shared" si="356"/>
        <v>44</v>
      </c>
      <c r="O386" s="42">
        <f t="shared" si="356"/>
        <v>11</v>
      </c>
      <c r="P386" s="42">
        <f t="shared" si="356"/>
        <v>22</v>
      </c>
      <c r="Q386" s="42">
        <f t="shared" si="356"/>
        <v>33</v>
      </c>
      <c r="R386" s="42">
        <v>44.0</v>
      </c>
      <c r="S386" s="111"/>
      <c r="T386" s="111"/>
      <c r="U386" s="111"/>
      <c r="V386" s="111"/>
      <c r="W386" s="111"/>
      <c r="X386" s="111"/>
      <c r="Y386" s="111"/>
    </row>
    <row r="387" ht="14.25" customHeight="1">
      <c r="B387" s="39"/>
      <c r="C387" s="109"/>
      <c r="D387" s="77" t="s">
        <v>396</v>
      </c>
      <c r="E387" s="77"/>
      <c r="F387" s="77"/>
      <c r="G387" s="77"/>
      <c r="H387" s="77"/>
      <c r="I387" s="310">
        <v>48.0</v>
      </c>
      <c r="J387" s="110" t="s">
        <v>395</v>
      </c>
      <c r="K387" s="310">
        <v>10.0</v>
      </c>
      <c r="L387" s="42">
        <v>20.0</v>
      </c>
      <c r="M387" s="42">
        <v>32.0</v>
      </c>
      <c r="N387" s="42">
        <v>44.0</v>
      </c>
      <c r="O387" s="310">
        <v>11.0</v>
      </c>
      <c r="P387" s="42">
        <v>22.0</v>
      </c>
      <c r="Q387" s="42">
        <v>33.0</v>
      </c>
      <c r="R387" s="42">
        <v>44.0</v>
      </c>
      <c r="S387" s="111"/>
      <c r="T387" s="111"/>
      <c r="U387" s="111"/>
      <c r="V387" s="111"/>
      <c r="W387" s="111"/>
      <c r="X387" s="111"/>
      <c r="Y387" s="111"/>
    </row>
    <row r="388" ht="14.25" customHeight="1">
      <c r="B388" s="39"/>
      <c r="C388" s="109"/>
      <c r="D388" s="77" t="s">
        <v>246</v>
      </c>
      <c r="E388" s="77"/>
      <c r="F388" s="77"/>
      <c r="G388" s="77"/>
      <c r="H388" s="77"/>
      <c r="I388" s="310">
        <v>0.0</v>
      </c>
      <c r="J388" s="110" t="s">
        <v>98</v>
      </c>
      <c r="K388" s="310">
        <v>0.0</v>
      </c>
      <c r="L388" s="310">
        <v>0.0</v>
      </c>
      <c r="M388" s="310">
        <v>0.0</v>
      </c>
      <c r="N388" s="310">
        <v>0.0</v>
      </c>
      <c r="O388" s="310">
        <v>0.0</v>
      </c>
      <c r="P388" s="310">
        <v>0.0</v>
      </c>
      <c r="Q388" s="310">
        <v>0.0</v>
      </c>
      <c r="R388" s="42"/>
      <c r="S388" s="111"/>
      <c r="T388" s="111"/>
      <c r="U388" s="111"/>
      <c r="V388" s="111"/>
      <c r="W388" s="111"/>
      <c r="X388" s="111"/>
      <c r="Y388" s="111"/>
    </row>
    <row r="389" ht="14.25" customHeight="1">
      <c r="B389" s="39"/>
      <c r="C389" s="109"/>
      <c r="D389" s="77" t="s">
        <v>246</v>
      </c>
      <c r="E389" s="77"/>
      <c r="F389" s="77"/>
      <c r="G389" s="77"/>
      <c r="H389" s="77"/>
      <c r="I389" s="310">
        <v>0.0</v>
      </c>
      <c r="J389" s="110" t="s">
        <v>98</v>
      </c>
      <c r="K389" s="310">
        <v>0.0</v>
      </c>
      <c r="L389" s="310">
        <v>0.0</v>
      </c>
      <c r="M389" s="310">
        <v>0.0</v>
      </c>
      <c r="N389" s="310">
        <v>0.0</v>
      </c>
      <c r="O389" s="310">
        <v>0.0</v>
      </c>
      <c r="P389" s="310">
        <v>0.0</v>
      </c>
      <c r="Q389" s="310">
        <v>0.0</v>
      </c>
      <c r="R389" s="42"/>
      <c r="S389" s="111"/>
      <c r="T389" s="111"/>
      <c r="U389" s="111"/>
      <c r="V389" s="111"/>
      <c r="W389" s="111"/>
      <c r="X389" s="111"/>
      <c r="Y389" s="111"/>
    </row>
    <row r="390" ht="14.25" customHeight="1">
      <c r="B390" s="39"/>
      <c r="C390" s="109"/>
      <c r="D390" s="77" t="s">
        <v>246</v>
      </c>
      <c r="E390" s="77"/>
      <c r="F390" s="77"/>
      <c r="G390" s="77"/>
      <c r="H390" s="77"/>
      <c r="I390" s="310">
        <v>0.0</v>
      </c>
      <c r="J390" s="110" t="s">
        <v>98</v>
      </c>
      <c r="K390" s="310">
        <v>0.0</v>
      </c>
      <c r="L390" s="310">
        <v>0.0</v>
      </c>
      <c r="M390" s="310">
        <v>0.0</v>
      </c>
      <c r="N390" s="310">
        <v>0.0</v>
      </c>
      <c r="O390" s="310">
        <v>0.0</v>
      </c>
      <c r="P390" s="310">
        <v>0.0</v>
      </c>
      <c r="Q390" s="310">
        <v>0.0</v>
      </c>
      <c r="R390" s="42"/>
      <c r="S390" s="111"/>
      <c r="T390" s="111"/>
      <c r="U390" s="111"/>
      <c r="V390" s="111"/>
      <c r="W390" s="111"/>
      <c r="X390" s="111"/>
      <c r="Y390" s="111"/>
    </row>
    <row r="391" ht="14.25" customHeight="1">
      <c r="B391" s="39"/>
      <c r="C391" s="109"/>
      <c r="D391" s="77" t="s">
        <v>246</v>
      </c>
      <c r="E391" s="77"/>
      <c r="F391" s="77"/>
      <c r="G391" s="77"/>
      <c r="H391" s="77"/>
      <c r="I391" s="310">
        <v>0.0</v>
      </c>
      <c r="J391" s="110" t="s">
        <v>98</v>
      </c>
      <c r="K391" s="310">
        <v>0.0</v>
      </c>
      <c r="L391" s="310">
        <v>0.0</v>
      </c>
      <c r="M391" s="310">
        <v>0.0</v>
      </c>
      <c r="N391" s="310">
        <v>0.0</v>
      </c>
      <c r="O391" s="310">
        <v>0.0</v>
      </c>
      <c r="P391" s="310">
        <v>0.0</v>
      </c>
      <c r="Q391" s="310">
        <v>0.0</v>
      </c>
      <c r="R391" s="42"/>
      <c r="S391" s="111"/>
      <c r="T391" s="111"/>
      <c r="U391" s="111"/>
      <c r="V391" s="111"/>
      <c r="W391" s="111"/>
      <c r="X391" s="111"/>
      <c r="Y391" s="111"/>
    </row>
    <row r="392" ht="14.25" customHeight="1">
      <c r="B392" s="77" t="s">
        <v>397</v>
      </c>
      <c r="C392" s="77"/>
      <c r="D392" s="77"/>
      <c r="E392" s="77"/>
      <c r="F392" s="77"/>
      <c r="G392" s="77"/>
      <c r="H392" s="77"/>
      <c r="I392" s="345"/>
      <c r="J392" s="103" t="s">
        <v>35</v>
      </c>
      <c r="K392" s="349">
        <f t="shared" ref="K392:P392" si="357">(SUM(K380,K386)/SUM($N380,$N386)*100)</f>
        <v>16.57142857</v>
      </c>
      <c r="L392" s="349">
        <f t="shared" si="357"/>
        <v>33.25714286</v>
      </c>
      <c r="M392" s="349">
        <f t="shared" si="357"/>
        <v>62.17142857</v>
      </c>
      <c r="N392" s="349">
        <f t="shared" si="357"/>
        <v>100</v>
      </c>
      <c r="O392" s="349">
        <f t="shared" si="357"/>
        <v>17.25714286</v>
      </c>
      <c r="P392" s="349">
        <f t="shared" si="357"/>
        <v>34.51428571</v>
      </c>
      <c r="Q392" s="42">
        <v>54.51</v>
      </c>
      <c r="R392" s="42">
        <v>100.0</v>
      </c>
      <c r="S392" s="46">
        <f t="shared" ref="S392:U392" si="358">IF(K392=0,0,IF((O392/K392*100)&gt;120,120,O392/K392*100))</f>
        <v>104.137931</v>
      </c>
      <c r="T392" s="46">
        <f t="shared" si="358"/>
        <v>103.7800687</v>
      </c>
      <c r="U392" s="46">
        <f t="shared" si="358"/>
        <v>87.67693015</v>
      </c>
      <c r="V392" s="46">
        <f t="shared" ref="V392:Y392" si="359">IF($N392=0,0,IF((O392/$N392*100)&gt;120,120,O392/$N392*100))</f>
        <v>17.25714286</v>
      </c>
      <c r="W392" s="46">
        <f t="shared" si="359"/>
        <v>34.51428571</v>
      </c>
      <c r="X392" s="46">
        <f t="shared" si="359"/>
        <v>54.51</v>
      </c>
      <c r="Y392" s="46">
        <f t="shared" si="359"/>
        <v>100</v>
      </c>
    </row>
    <row r="393" ht="14.25" customHeight="1">
      <c r="B393" s="39"/>
      <c r="C393" s="39"/>
      <c r="D393" s="39"/>
      <c r="E393" s="39"/>
      <c r="F393" s="39"/>
      <c r="G393" s="39"/>
      <c r="H393" s="39"/>
      <c r="I393" s="39"/>
      <c r="J393" s="39"/>
      <c r="K393" s="350"/>
      <c r="L393" s="39"/>
      <c r="M393" s="39"/>
      <c r="N393" s="39"/>
      <c r="O393" s="39"/>
      <c r="P393" s="39"/>
      <c r="Q393" s="39"/>
      <c r="R393" s="39"/>
      <c r="S393" s="39"/>
      <c r="T393" s="39"/>
      <c r="U393" s="39"/>
      <c r="V393" s="39"/>
      <c r="W393" s="39"/>
      <c r="X393" s="39"/>
      <c r="Y393" s="39"/>
    </row>
    <row r="394" ht="14.25" customHeight="1">
      <c r="B394" s="351"/>
      <c r="C394" s="352"/>
      <c r="D394" s="353"/>
      <c r="E394" s="353"/>
      <c r="F394" s="353"/>
      <c r="G394" s="354" t="s">
        <v>462</v>
      </c>
      <c r="H394" s="353"/>
      <c r="I394" s="353"/>
      <c r="J394" s="353"/>
      <c r="K394" s="355"/>
      <c r="L394" s="355"/>
      <c r="M394" s="355"/>
      <c r="N394" s="355"/>
      <c r="O394" s="355"/>
      <c r="P394" s="355"/>
      <c r="Q394" s="355"/>
      <c r="R394" s="355"/>
      <c r="S394" s="356">
        <f t="shared" ref="S394:U394" si="360">IF(SUM(K364:K374,K392)&gt;0,SUM(S364:S374,S392)/SUM(COUNTIF(K364:K374,"&gt;0"),COUNTIF(K392,"&gt;0")),0)</f>
        <v>108.045977</v>
      </c>
      <c r="T394" s="356">
        <f t="shared" si="360"/>
        <v>103.3971527</v>
      </c>
      <c r="U394" s="356">
        <f t="shared" si="360"/>
        <v>99.54074192</v>
      </c>
      <c r="V394" s="356">
        <f t="shared" ref="V394:Y394" si="361">IF(SUM($N364:$N393)&gt;0,SUM(V364:V393)/COUNTIF($N364:$N393,"&gt;0"),0)</f>
        <v>4.177135058</v>
      </c>
      <c r="W394" s="356">
        <f t="shared" si="361"/>
        <v>28.35427012</v>
      </c>
      <c r="X394" s="356">
        <f t="shared" si="361"/>
        <v>33.15627773</v>
      </c>
      <c r="Y394" s="356">
        <f t="shared" si="361"/>
        <v>47.60724433</v>
      </c>
    </row>
    <row r="395" ht="14.25" customHeight="1">
      <c r="V395" s="244">
        <f>SUM(V365:V392)/3</f>
        <v>20.88567529</v>
      </c>
      <c r="W395" s="244">
        <f t="shared" ref="W395:Y395" si="362">SUM(W365:W392)/7</f>
        <v>60.75915025</v>
      </c>
      <c r="X395" s="244">
        <f t="shared" si="362"/>
        <v>71.04916657</v>
      </c>
      <c r="Y395" s="244">
        <f t="shared" si="362"/>
        <v>102.0155236</v>
      </c>
    </row>
    <row r="396" ht="14.25" customHeight="1"/>
    <row r="397">
      <c r="B397" s="4" t="s">
        <v>399</v>
      </c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6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</row>
    <row r="398" ht="15.75" customHeight="1">
      <c r="B398" s="187" t="s">
        <v>2</v>
      </c>
      <c r="C398" s="8"/>
      <c r="D398" s="8"/>
      <c r="E398" s="8"/>
      <c r="F398" s="8"/>
      <c r="G398" s="8"/>
      <c r="H398" s="8"/>
      <c r="I398" s="343"/>
      <c r="J398" s="189" t="s">
        <v>3</v>
      </c>
      <c r="K398" s="11"/>
      <c r="L398" s="11"/>
      <c r="M398" s="11"/>
      <c r="N398" s="11"/>
      <c r="O398" s="11"/>
      <c r="P398" s="11"/>
      <c r="Q398" s="11"/>
      <c r="R398" s="12"/>
      <c r="S398" s="189" t="s">
        <v>4</v>
      </c>
      <c r="T398" s="11"/>
      <c r="U398" s="11"/>
      <c r="V398" s="11"/>
      <c r="W398" s="11"/>
      <c r="X398" s="11"/>
      <c r="Y398" s="12"/>
    </row>
    <row r="399" ht="14.25" customHeight="1">
      <c r="B399" s="13"/>
      <c r="I399" s="92"/>
      <c r="J399" s="190" t="s">
        <v>5</v>
      </c>
      <c r="K399" s="191" t="s">
        <v>62</v>
      </c>
      <c r="L399" s="17"/>
      <c r="M399" s="17"/>
      <c r="N399" s="18"/>
      <c r="O399" s="191" t="s">
        <v>63</v>
      </c>
      <c r="P399" s="17"/>
      <c r="Q399" s="17"/>
      <c r="R399" s="18"/>
      <c r="S399" s="191" t="s">
        <v>64</v>
      </c>
      <c r="T399" s="17"/>
      <c r="U399" s="18"/>
      <c r="V399" s="191" t="s">
        <v>9</v>
      </c>
      <c r="W399" s="17"/>
      <c r="X399" s="17"/>
      <c r="Y399" s="18"/>
    </row>
    <row r="400" ht="14.25" customHeight="1">
      <c r="B400" s="19"/>
      <c r="C400" s="20"/>
      <c r="D400" s="20"/>
      <c r="E400" s="20"/>
      <c r="F400" s="20"/>
      <c r="G400" s="20"/>
      <c r="H400" s="20"/>
      <c r="I400" s="21"/>
      <c r="J400" s="22"/>
      <c r="K400" s="192" t="s">
        <v>10</v>
      </c>
      <c r="L400" s="192" t="s">
        <v>11</v>
      </c>
      <c r="M400" s="192" t="s">
        <v>12</v>
      </c>
      <c r="N400" s="192" t="s">
        <v>13</v>
      </c>
      <c r="O400" s="192" t="s">
        <v>10</v>
      </c>
      <c r="P400" s="192" t="s">
        <v>11</v>
      </c>
      <c r="Q400" s="192" t="s">
        <v>12</v>
      </c>
      <c r="R400" s="192" t="s">
        <v>13</v>
      </c>
      <c r="S400" s="192" t="s">
        <v>10</v>
      </c>
      <c r="T400" s="192" t="s">
        <v>11</v>
      </c>
      <c r="U400" s="192" t="s">
        <v>12</v>
      </c>
      <c r="V400" s="192" t="s">
        <v>10</v>
      </c>
      <c r="W400" s="192" t="s">
        <v>11</v>
      </c>
      <c r="X400" s="192" t="s">
        <v>12</v>
      </c>
      <c r="Y400" s="192" t="s">
        <v>13</v>
      </c>
    </row>
    <row r="401" ht="14.25" customHeight="1">
      <c r="B401" s="194">
        <v>-1.0</v>
      </c>
      <c r="C401" s="27"/>
      <c r="D401" s="27"/>
      <c r="E401" s="27"/>
      <c r="F401" s="27"/>
      <c r="G401" s="27"/>
      <c r="H401" s="27"/>
      <c r="I401" s="344"/>
      <c r="J401" s="195">
        <v>-2.0</v>
      </c>
      <c r="K401" s="195">
        <v>-3.0</v>
      </c>
      <c r="L401" s="195">
        <v>-4.0</v>
      </c>
      <c r="M401" s="195">
        <v>-5.0</v>
      </c>
      <c r="N401" s="195">
        <v>-6.0</v>
      </c>
      <c r="O401" s="195">
        <v>-7.0</v>
      </c>
      <c r="P401" s="195">
        <v>-8.0</v>
      </c>
      <c r="Q401" s="195">
        <v>-9.0</v>
      </c>
      <c r="R401" s="195">
        <v>-10.0</v>
      </c>
      <c r="S401" s="195">
        <v>-11.0</v>
      </c>
      <c r="T401" s="195">
        <v>-12.0</v>
      </c>
      <c r="U401" s="195">
        <v>-13.0</v>
      </c>
      <c r="V401" s="195">
        <v>-14.0</v>
      </c>
      <c r="W401" s="195">
        <v>-15.0</v>
      </c>
      <c r="X401" s="195">
        <v>-16.0</v>
      </c>
      <c r="Y401" s="195">
        <v>-17.0</v>
      </c>
    </row>
    <row r="402" ht="14.25" customHeight="1">
      <c r="B402" s="35"/>
      <c r="C402" s="35"/>
      <c r="D402" s="35"/>
      <c r="E402" s="35"/>
      <c r="F402" s="35"/>
      <c r="G402" s="35"/>
      <c r="H402" s="35"/>
      <c r="I402" s="35"/>
      <c r="J402" s="35"/>
      <c r="K402" s="35"/>
      <c r="L402" s="35"/>
      <c r="M402" s="35"/>
      <c r="N402" s="35"/>
      <c r="O402" s="35"/>
      <c r="P402" s="35"/>
      <c r="Q402" s="35"/>
      <c r="R402" s="35"/>
      <c r="S402" s="35"/>
      <c r="T402" s="35"/>
      <c r="U402" s="35"/>
      <c r="V402" s="35"/>
      <c r="W402" s="35"/>
      <c r="X402" s="35"/>
      <c r="Y402" s="35"/>
    </row>
    <row r="403" ht="14.25" customHeight="1">
      <c r="B403" s="77" t="s">
        <v>400</v>
      </c>
      <c r="C403" s="77"/>
      <c r="D403" s="77"/>
      <c r="E403" s="77"/>
      <c r="F403" s="77"/>
      <c r="G403" s="77"/>
      <c r="H403" s="77"/>
      <c r="I403" s="159"/>
      <c r="J403" s="103" t="s">
        <v>85</v>
      </c>
      <c r="K403" s="39">
        <f t="shared" ref="K403:R403" si="363">SUM(K404:K405)</f>
        <v>0</v>
      </c>
      <c r="L403" s="39">
        <f t="shared" si="363"/>
        <v>1</v>
      </c>
      <c r="M403" s="60">
        <f t="shared" si="363"/>
        <v>2</v>
      </c>
      <c r="N403" s="347">
        <f t="shared" si="363"/>
        <v>2</v>
      </c>
      <c r="O403" s="62">
        <f t="shared" si="363"/>
        <v>0</v>
      </c>
      <c r="P403" s="39">
        <f t="shared" si="363"/>
        <v>1</v>
      </c>
      <c r="Q403" s="39">
        <f t="shared" si="363"/>
        <v>2</v>
      </c>
      <c r="R403" s="39">
        <f t="shared" si="363"/>
        <v>2</v>
      </c>
      <c r="S403" s="46">
        <f t="shared" ref="S403:U403" si="364">IF(K403=0,0,IF((O403/K403*100)&gt;120,120,O403/K403*100))</f>
        <v>0</v>
      </c>
      <c r="T403" s="46">
        <f t="shared" si="364"/>
        <v>100</v>
      </c>
      <c r="U403" s="46">
        <f t="shared" si="364"/>
        <v>100</v>
      </c>
      <c r="V403" s="46">
        <f t="shared" ref="V403:Y403" si="365">IF($N403=0,0,IF((O403/$N403*100)&gt;120,120,O403/$N403*100))</f>
        <v>0</v>
      </c>
      <c r="W403" s="46">
        <f t="shared" si="365"/>
        <v>50</v>
      </c>
      <c r="X403" s="46">
        <f t="shared" si="365"/>
        <v>100</v>
      </c>
      <c r="Y403" s="46">
        <f t="shared" si="365"/>
        <v>100</v>
      </c>
    </row>
    <row r="404" ht="14.25" customHeight="1">
      <c r="B404" s="77"/>
      <c r="C404" s="77" t="s">
        <v>401</v>
      </c>
      <c r="D404" s="77"/>
      <c r="E404" s="77"/>
      <c r="F404" s="77"/>
      <c r="G404" s="77"/>
      <c r="H404" s="77"/>
      <c r="I404" s="159">
        <v>2.0</v>
      </c>
      <c r="J404" s="110" t="s">
        <v>87</v>
      </c>
      <c r="K404" s="42">
        <v>0.0</v>
      </c>
      <c r="L404" s="42">
        <v>1.0</v>
      </c>
      <c r="M404" s="42">
        <v>2.0</v>
      </c>
      <c r="N404" s="42">
        <v>2.0</v>
      </c>
      <c r="O404" s="42">
        <v>0.0</v>
      </c>
      <c r="P404" s="42">
        <v>1.0</v>
      </c>
      <c r="Q404" s="42">
        <v>2.0</v>
      </c>
      <c r="R404" s="42">
        <v>2.0</v>
      </c>
      <c r="S404" s="46">
        <f t="shared" ref="S404:U404" si="366">IF(K404=0,0,IF((O404/K404*100)&gt;120,120,O404/K404*100))</f>
        <v>0</v>
      </c>
      <c r="T404" s="46">
        <f t="shared" si="366"/>
        <v>100</v>
      </c>
      <c r="U404" s="46">
        <f t="shared" si="366"/>
        <v>100</v>
      </c>
      <c r="V404" s="46">
        <f t="shared" ref="V404:Y404" si="367">IF($N404=0,0,IF((O404/$N404*100)&gt;120,120,O404/$N404*100))</f>
        <v>0</v>
      </c>
      <c r="W404" s="46">
        <f t="shared" si="367"/>
        <v>50</v>
      </c>
      <c r="X404" s="46">
        <f t="shared" si="367"/>
        <v>100</v>
      </c>
      <c r="Y404" s="46">
        <f t="shared" si="367"/>
        <v>100</v>
      </c>
    </row>
    <row r="405" ht="14.25" customHeight="1">
      <c r="B405" s="77"/>
      <c r="C405" s="77" t="s">
        <v>402</v>
      </c>
      <c r="D405" s="77"/>
      <c r="E405" s="77"/>
      <c r="F405" s="77"/>
      <c r="G405" s="77"/>
      <c r="H405" s="77"/>
      <c r="I405" s="159">
        <v>0.0</v>
      </c>
      <c r="J405" s="110" t="s">
        <v>66</v>
      </c>
      <c r="K405" s="42">
        <v>0.0</v>
      </c>
      <c r="L405" s="42">
        <v>0.0</v>
      </c>
      <c r="M405" s="42">
        <v>0.0</v>
      </c>
      <c r="N405" s="42">
        <v>0.0</v>
      </c>
      <c r="O405" s="42">
        <v>0.0</v>
      </c>
      <c r="P405" s="42">
        <v>0.0</v>
      </c>
      <c r="Q405" s="42">
        <v>0.0</v>
      </c>
      <c r="R405" s="42">
        <v>0.0</v>
      </c>
      <c r="S405" s="46">
        <f t="shared" ref="S405:U405" si="368">IF(K405=0,0,IF((O405/K405*100)&gt;120,120,O405/K405*100))</f>
        <v>0</v>
      </c>
      <c r="T405" s="46">
        <f t="shared" si="368"/>
        <v>0</v>
      </c>
      <c r="U405" s="46">
        <f t="shared" si="368"/>
        <v>0</v>
      </c>
      <c r="V405" s="46">
        <f t="shared" ref="V405:Y405" si="369">IF($N405=0,0,IF((O405/$N405*100)&gt;120,120,O405/$N405*100))</f>
        <v>0</v>
      </c>
      <c r="W405" s="46">
        <f t="shared" si="369"/>
        <v>0</v>
      </c>
      <c r="X405" s="46">
        <f t="shared" si="369"/>
        <v>0</v>
      </c>
      <c r="Y405" s="46">
        <f t="shared" si="369"/>
        <v>0</v>
      </c>
    </row>
    <row r="406" ht="14.25" customHeight="1">
      <c r="B406" s="77" t="s">
        <v>403</v>
      </c>
      <c r="C406" s="77"/>
      <c r="D406" s="77"/>
      <c r="E406" s="77"/>
      <c r="F406" s="77"/>
      <c r="G406" s="77"/>
      <c r="H406" s="77"/>
      <c r="I406" s="159"/>
      <c r="J406" s="103" t="s">
        <v>85</v>
      </c>
      <c r="K406" s="39">
        <f t="shared" ref="K406:R406" si="370">SUM(K407:K408)</f>
        <v>0</v>
      </c>
      <c r="L406" s="39">
        <f t="shared" si="370"/>
        <v>1</v>
      </c>
      <c r="M406" s="60">
        <f t="shared" si="370"/>
        <v>1</v>
      </c>
      <c r="N406" s="347">
        <f t="shared" si="370"/>
        <v>1</v>
      </c>
      <c r="O406" s="62">
        <f t="shared" si="370"/>
        <v>0</v>
      </c>
      <c r="P406" s="39">
        <f t="shared" si="370"/>
        <v>1</v>
      </c>
      <c r="Q406" s="39">
        <f t="shared" si="370"/>
        <v>1</v>
      </c>
      <c r="R406" s="39">
        <f t="shared" si="370"/>
        <v>1</v>
      </c>
      <c r="S406" s="46">
        <f t="shared" ref="S406:U406" si="371">IF(K406=0,0,IF((O406/K406*100)&gt;120,120,O406/K406*100))</f>
        <v>0</v>
      </c>
      <c r="T406" s="46">
        <f t="shared" si="371"/>
        <v>100</v>
      </c>
      <c r="U406" s="46">
        <f t="shared" si="371"/>
        <v>100</v>
      </c>
      <c r="V406" s="46">
        <f t="shared" ref="V406:Y406" si="372">IF($N406=0,0,IF((O406/$N406*100)&gt;120,120,O406/$N406*100))</f>
        <v>0</v>
      </c>
      <c r="W406" s="46">
        <f t="shared" si="372"/>
        <v>100</v>
      </c>
      <c r="X406" s="46">
        <f t="shared" si="372"/>
        <v>100</v>
      </c>
      <c r="Y406" s="46">
        <f t="shared" si="372"/>
        <v>100</v>
      </c>
    </row>
    <row r="407" ht="14.25" customHeight="1">
      <c r="B407" s="77"/>
      <c r="C407" s="77" t="s">
        <v>404</v>
      </c>
      <c r="D407" s="77"/>
      <c r="E407" s="77"/>
      <c r="F407" s="77"/>
      <c r="G407" s="77"/>
      <c r="H407" s="77"/>
      <c r="I407" s="159">
        <v>1.0</v>
      </c>
      <c r="J407" s="110" t="s">
        <v>87</v>
      </c>
      <c r="K407" s="42">
        <v>0.0</v>
      </c>
      <c r="L407" s="42">
        <v>1.0</v>
      </c>
      <c r="M407" s="42">
        <v>1.0</v>
      </c>
      <c r="N407" s="42">
        <v>1.0</v>
      </c>
      <c r="O407" s="42">
        <v>0.0</v>
      </c>
      <c r="P407" s="42">
        <v>1.0</v>
      </c>
      <c r="Q407" s="42">
        <v>1.0</v>
      </c>
      <c r="R407" s="42">
        <v>1.0</v>
      </c>
      <c r="S407" s="46">
        <f t="shared" ref="S407:U407" si="373">IF(K407=0,0,IF((O407/K407*100)&gt;120,120,O407/K407*100))</f>
        <v>0</v>
      </c>
      <c r="T407" s="46">
        <f t="shared" si="373"/>
        <v>100</v>
      </c>
      <c r="U407" s="46">
        <f t="shared" si="373"/>
        <v>100</v>
      </c>
      <c r="V407" s="46">
        <f t="shared" ref="V407:Y407" si="374">IF($N407=0,0,IF((O407/$N407*100)&gt;120,120,O407/$N407*100))</f>
        <v>0</v>
      </c>
      <c r="W407" s="46">
        <f t="shared" si="374"/>
        <v>100</v>
      </c>
      <c r="X407" s="46">
        <f t="shared" si="374"/>
        <v>100</v>
      </c>
      <c r="Y407" s="46">
        <f t="shared" si="374"/>
        <v>100</v>
      </c>
    </row>
    <row r="408" ht="14.25" customHeight="1">
      <c r="B408" s="77"/>
      <c r="C408" s="77" t="s">
        <v>405</v>
      </c>
      <c r="D408" s="77"/>
      <c r="E408" s="77"/>
      <c r="F408" s="77"/>
      <c r="G408" s="77"/>
      <c r="H408" s="77"/>
      <c r="I408" s="159">
        <v>0.0</v>
      </c>
      <c r="J408" s="110" t="s">
        <v>66</v>
      </c>
      <c r="K408" s="42">
        <v>0.0</v>
      </c>
      <c r="L408" s="42">
        <v>0.0</v>
      </c>
      <c r="M408" s="42">
        <v>0.0</v>
      </c>
      <c r="N408" s="42">
        <v>0.0</v>
      </c>
      <c r="O408" s="42">
        <v>0.0</v>
      </c>
      <c r="P408" s="42">
        <v>0.0</v>
      </c>
      <c r="Q408" s="42">
        <v>0.0</v>
      </c>
      <c r="R408" s="42">
        <v>0.0</v>
      </c>
      <c r="S408" s="46">
        <f t="shared" ref="S408:U408" si="375">IF(K408=0,0,IF((O408/K408*100)&gt;120,120,O408/K408*100))</f>
        <v>0</v>
      </c>
      <c r="T408" s="46">
        <f t="shared" si="375"/>
        <v>0</v>
      </c>
      <c r="U408" s="46">
        <f t="shared" si="375"/>
        <v>0</v>
      </c>
      <c r="V408" s="46">
        <f t="shared" ref="V408:Y408" si="376">IF($N408=0,0,IF((O408/$N408*100)&gt;120,120,O408/$N408*100))</f>
        <v>0</v>
      </c>
      <c r="W408" s="46">
        <f t="shared" si="376"/>
        <v>0</v>
      </c>
      <c r="X408" s="46">
        <f t="shared" si="376"/>
        <v>0</v>
      </c>
      <c r="Y408" s="46">
        <f t="shared" si="376"/>
        <v>0</v>
      </c>
    </row>
    <row r="409" ht="14.25" customHeight="1">
      <c r="B409" s="77" t="s">
        <v>406</v>
      </c>
      <c r="C409" s="77"/>
      <c r="D409" s="77"/>
      <c r="E409" s="77"/>
      <c r="F409" s="77"/>
      <c r="G409" s="77"/>
      <c r="H409" s="77"/>
      <c r="I409" s="159"/>
      <c r="J409" s="103" t="s">
        <v>87</v>
      </c>
      <c r="K409" s="42">
        <v>0.0</v>
      </c>
      <c r="L409" s="42">
        <v>0.0</v>
      </c>
      <c r="M409" s="42">
        <v>0.0</v>
      </c>
      <c r="N409" s="42">
        <v>0.0</v>
      </c>
      <c r="O409" s="42">
        <v>0.0</v>
      </c>
      <c r="P409" s="42">
        <v>0.0</v>
      </c>
      <c r="Q409" s="42">
        <v>0.0</v>
      </c>
      <c r="R409" s="42">
        <v>0.0</v>
      </c>
      <c r="S409" s="46">
        <f t="shared" ref="S409:U409" si="377">IF(K409=0,0,IF((O409/K409*100)&gt;120,120,O409/K409*100))</f>
        <v>0</v>
      </c>
      <c r="T409" s="46">
        <f t="shared" si="377"/>
        <v>0</v>
      </c>
      <c r="U409" s="46">
        <f t="shared" si="377"/>
        <v>0</v>
      </c>
      <c r="V409" s="46">
        <f t="shared" ref="V409:Y409" si="378">IF($N409=0,0,IF((O409/$N409*100)&gt;120,120,O409/$N409*100))</f>
        <v>0</v>
      </c>
      <c r="W409" s="46">
        <f t="shared" si="378"/>
        <v>0</v>
      </c>
      <c r="X409" s="46">
        <f t="shared" si="378"/>
        <v>0</v>
      </c>
      <c r="Y409" s="46">
        <f t="shared" si="378"/>
        <v>0</v>
      </c>
    </row>
    <row r="410" ht="14.25" customHeight="1">
      <c r="B410" s="77" t="s">
        <v>407</v>
      </c>
      <c r="C410" s="77"/>
      <c r="D410" s="77"/>
      <c r="E410" s="77"/>
      <c r="F410" s="77"/>
      <c r="G410" s="77"/>
      <c r="H410" s="77"/>
      <c r="I410" s="159">
        <v>0.0</v>
      </c>
      <c r="J410" s="103" t="s">
        <v>95</v>
      </c>
      <c r="K410" s="42">
        <v>0.0</v>
      </c>
      <c r="L410" s="42">
        <v>0.0</v>
      </c>
      <c r="M410" s="42">
        <v>0.0</v>
      </c>
      <c r="N410" s="42">
        <v>0.0</v>
      </c>
      <c r="O410" s="42">
        <v>0.0</v>
      </c>
      <c r="P410" s="42">
        <v>0.0</v>
      </c>
      <c r="Q410" s="42">
        <v>0.0</v>
      </c>
      <c r="R410" s="42">
        <v>0.0</v>
      </c>
      <c r="S410" s="46">
        <f t="shared" ref="S410:U410" si="379">IF(K410=0,0,IF((O410/K410*100)&gt;120,120,O410/K410*100))</f>
        <v>0</v>
      </c>
      <c r="T410" s="46">
        <f t="shared" si="379"/>
        <v>0</v>
      </c>
      <c r="U410" s="46">
        <f t="shared" si="379"/>
        <v>0</v>
      </c>
      <c r="V410" s="46">
        <f t="shared" ref="V410:Y410" si="380">IF($N410=0,0,IF((O410/$N410*100)&gt;120,120,O410/$N410*100))</f>
        <v>0</v>
      </c>
      <c r="W410" s="46">
        <f t="shared" si="380"/>
        <v>0</v>
      </c>
      <c r="X410" s="46">
        <f t="shared" si="380"/>
        <v>0</v>
      </c>
      <c r="Y410" s="46">
        <f t="shared" si="380"/>
        <v>0</v>
      </c>
    </row>
    <row r="411" ht="14.25" customHeight="1">
      <c r="B411" s="77" t="s">
        <v>408</v>
      </c>
      <c r="C411" s="77"/>
      <c r="D411" s="77"/>
      <c r="E411" s="77"/>
      <c r="F411" s="77"/>
      <c r="G411" s="77"/>
      <c r="H411" s="77"/>
      <c r="I411" s="159"/>
      <c r="J411" s="103" t="s">
        <v>35</v>
      </c>
      <c r="K411" s="254">
        <f t="shared" ref="K411:R411" si="381">IF($I412+$I414+$I417=0,0,AVERAGE(IF($I412&gt;0,K412/$I412*100,0),IF($I414&gt;0,K414/$I414*100,0),IF($I417&gt;0,K417/$I417*100,0)))</f>
        <v>0</v>
      </c>
      <c r="L411" s="254">
        <f t="shared" si="381"/>
        <v>6.956021845</v>
      </c>
      <c r="M411" s="336">
        <f t="shared" si="381"/>
        <v>43.73383156</v>
      </c>
      <c r="N411" s="357">
        <f t="shared" si="381"/>
        <v>95.45846508</v>
      </c>
      <c r="O411" s="357">
        <f t="shared" si="381"/>
        <v>0</v>
      </c>
      <c r="P411" s="357">
        <f t="shared" si="381"/>
        <v>7.190763629</v>
      </c>
      <c r="Q411" s="357">
        <f t="shared" si="381"/>
        <v>59.03888942</v>
      </c>
      <c r="R411" s="357">
        <f t="shared" si="381"/>
        <v>100</v>
      </c>
      <c r="S411" s="46">
        <f t="shared" ref="S411:U411" si="382">IF(K411=0,0,IF((O411/K411*100)&gt;120,120,O411/K411*100))</f>
        <v>0</v>
      </c>
      <c r="T411" s="46">
        <f t="shared" si="382"/>
        <v>103.3746556</v>
      </c>
      <c r="U411" s="46">
        <f t="shared" si="382"/>
        <v>120</v>
      </c>
      <c r="V411" s="46">
        <f t="shared" ref="V411:Y411" si="383">IF($N411=0,0,IF((O411/$N411*100)&gt;120,120,O411/$N411*100))</f>
        <v>0</v>
      </c>
      <c r="W411" s="46">
        <f t="shared" si="383"/>
        <v>7.532871625</v>
      </c>
      <c r="X411" s="46">
        <f t="shared" si="383"/>
        <v>61.84772547</v>
      </c>
      <c r="Y411" s="46">
        <f t="shared" si="383"/>
        <v>104.7576031</v>
      </c>
    </row>
    <row r="412" ht="14.25" customHeight="1">
      <c r="B412" s="77"/>
      <c r="C412" s="77" t="s">
        <v>409</v>
      </c>
      <c r="D412" s="77"/>
      <c r="E412" s="77"/>
      <c r="F412" s="77"/>
      <c r="G412" s="77"/>
      <c r="H412" s="77"/>
      <c r="I412" s="42">
        <f>SUM(I413)</f>
        <v>90</v>
      </c>
      <c r="J412" s="110" t="s">
        <v>98</v>
      </c>
      <c r="K412" s="42">
        <f t="shared" ref="K412:R412" si="384">SUM(K413)</f>
        <v>0</v>
      </c>
      <c r="L412" s="42">
        <f t="shared" si="384"/>
        <v>0</v>
      </c>
      <c r="M412" s="42">
        <f t="shared" si="384"/>
        <v>45</v>
      </c>
      <c r="N412" s="42">
        <f t="shared" si="384"/>
        <v>90</v>
      </c>
      <c r="O412" s="42">
        <f t="shared" si="384"/>
        <v>0</v>
      </c>
      <c r="P412" s="42">
        <f t="shared" si="384"/>
        <v>0</v>
      </c>
      <c r="Q412" s="42">
        <f t="shared" si="384"/>
        <v>70</v>
      </c>
      <c r="R412" s="42">
        <f t="shared" si="384"/>
        <v>90</v>
      </c>
      <c r="S412" s="111"/>
      <c r="T412" s="111"/>
      <c r="U412" s="111"/>
      <c r="V412" s="111"/>
      <c r="W412" s="111"/>
      <c r="X412" s="111"/>
      <c r="Y412" s="111"/>
    </row>
    <row r="413" ht="14.25" customHeight="1">
      <c r="B413" s="39"/>
      <c r="C413" s="109"/>
      <c r="D413" s="77" t="s">
        <v>410</v>
      </c>
      <c r="E413" s="77"/>
      <c r="F413" s="77"/>
      <c r="G413" s="77"/>
      <c r="H413" s="77"/>
      <c r="I413" s="42">
        <v>90.0</v>
      </c>
      <c r="J413" s="110" t="s">
        <v>98</v>
      </c>
      <c r="K413" s="42">
        <v>0.0</v>
      </c>
      <c r="L413" s="42">
        <v>0.0</v>
      </c>
      <c r="M413" s="42">
        <v>45.0</v>
      </c>
      <c r="N413" s="42">
        <v>90.0</v>
      </c>
      <c r="O413" s="42">
        <v>0.0</v>
      </c>
      <c r="P413" s="42">
        <v>0.0</v>
      </c>
      <c r="Q413" s="42">
        <v>70.0</v>
      </c>
      <c r="R413" s="42">
        <v>90.0</v>
      </c>
      <c r="S413" s="111"/>
      <c r="T413" s="111"/>
      <c r="U413" s="111"/>
      <c r="V413" s="111"/>
      <c r="W413" s="111"/>
      <c r="X413" s="111"/>
      <c r="Y413" s="111"/>
    </row>
    <row r="414" ht="14.25" customHeight="1">
      <c r="B414" s="77"/>
      <c r="C414" s="77" t="s">
        <v>411</v>
      </c>
      <c r="D414" s="77"/>
      <c r="E414" s="77"/>
      <c r="F414" s="77"/>
      <c r="G414" s="77"/>
      <c r="H414" s="77"/>
      <c r="I414" s="42">
        <f>SUM(I415:I416)</f>
        <v>98</v>
      </c>
      <c r="J414" s="110" t="s">
        <v>98</v>
      </c>
      <c r="K414" s="42">
        <f t="shared" ref="K414:R414" si="385">SUM(K415:K416)</f>
        <v>0</v>
      </c>
      <c r="L414" s="42">
        <f t="shared" si="385"/>
        <v>17</v>
      </c>
      <c r="M414" s="42">
        <f t="shared" si="385"/>
        <v>43</v>
      </c>
      <c r="N414" s="42">
        <f t="shared" si="385"/>
        <v>95</v>
      </c>
      <c r="O414" s="42">
        <f t="shared" si="385"/>
        <v>0</v>
      </c>
      <c r="P414" s="42">
        <f t="shared" si="385"/>
        <v>17</v>
      </c>
      <c r="Q414" s="42">
        <f t="shared" si="385"/>
        <v>38</v>
      </c>
      <c r="R414" s="42">
        <f t="shared" si="385"/>
        <v>98</v>
      </c>
      <c r="S414" s="111"/>
      <c r="T414" s="111"/>
      <c r="U414" s="111"/>
      <c r="V414" s="111"/>
      <c r="W414" s="111"/>
      <c r="X414" s="111"/>
      <c r="Y414" s="111"/>
    </row>
    <row r="415" ht="14.25" customHeight="1">
      <c r="B415" s="39"/>
      <c r="C415" s="109"/>
      <c r="D415" s="77" t="s">
        <v>412</v>
      </c>
      <c r="E415" s="77"/>
      <c r="F415" s="77"/>
      <c r="G415" s="77"/>
      <c r="H415" s="77"/>
      <c r="I415" s="42">
        <v>30.0</v>
      </c>
      <c r="J415" s="110" t="s">
        <v>98</v>
      </c>
      <c r="K415" s="42">
        <v>0.0</v>
      </c>
      <c r="L415" s="42">
        <v>0.0</v>
      </c>
      <c r="M415" s="42">
        <v>9.0</v>
      </c>
      <c r="N415" s="42">
        <v>27.0</v>
      </c>
      <c r="O415" s="42">
        <v>0.0</v>
      </c>
      <c r="P415" s="42">
        <v>0.0</v>
      </c>
      <c r="Q415" s="42">
        <v>4.0</v>
      </c>
      <c r="R415" s="42">
        <v>30.0</v>
      </c>
      <c r="S415" s="111"/>
      <c r="T415" s="111"/>
      <c r="U415" s="111"/>
      <c r="V415" s="111"/>
      <c r="W415" s="111"/>
      <c r="X415" s="111"/>
      <c r="Y415" s="111"/>
    </row>
    <row r="416" ht="14.25" customHeight="1">
      <c r="B416" s="39"/>
      <c r="C416" s="109"/>
      <c r="D416" s="77" t="s">
        <v>413</v>
      </c>
      <c r="E416" s="77"/>
      <c r="F416" s="77"/>
      <c r="G416" s="77"/>
      <c r="H416" s="77"/>
      <c r="I416" s="42">
        <v>68.0</v>
      </c>
      <c r="J416" s="110" t="s">
        <v>98</v>
      </c>
      <c r="K416" s="42">
        <v>0.0</v>
      </c>
      <c r="L416" s="42">
        <v>17.0</v>
      </c>
      <c r="M416" s="42">
        <v>34.0</v>
      </c>
      <c r="N416" s="42">
        <v>68.0</v>
      </c>
      <c r="O416" s="42">
        <v>0.0</v>
      </c>
      <c r="P416" s="42">
        <v>17.0</v>
      </c>
      <c r="Q416" s="42">
        <v>34.0</v>
      </c>
      <c r="R416" s="42">
        <v>68.0</v>
      </c>
      <c r="S416" s="111"/>
      <c r="T416" s="111"/>
      <c r="U416" s="111"/>
      <c r="V416" s="111"/>
      <c r="W416" s="111"/>
      <c r="X416" s="111"/>
      <c r="Y416" s="111"/>
    </row>
    <row r="417" ht="14.25" customHeight="1">
      <c r="B417" s="77"/>
      <c r="C417" s="77" t="s">
        <v>414</v>
      </c>
      <c r="D417" s="77"/>
      <c r="E417" s="77"/>
      <c r="F417" s="77"/>
      <c r="G417" s="77"/>
      <c r="H417" s="77"/>
      <c r="I417" s="42">
        <f>SUM(I418:I422)</f>
        <v>142</v>
      </c>
      <c r="J417" s="110" t="s">
        <v>98</v>
      </c>
      <c r="K417" s="42">
        <f t="shared" ref="K417:R417" si="386">SUM(K418:K422)</f>
        <v>0</v>
      </c>
      <c r="L417" s="42">
        <f t="shared" si="386"/>
        <v>5</v>
      </c>
      <c r="M417" s="42">
        <f t="shared" si="386"/>
        <v>53</v>
      </c>
      <c r="N417" s="42">
        <f t="shared" si="386"/>
        <v>127</v>
      </c>
      <c r="O417" s="42">
        <f t="shared" si="386"/>
        <v>0</v>
      </c>
      <c r="P417" s="42">
        <f t="shared" si="386"/>
        <v>6</v>
      </c>
      <c r="Q417" s="42">
        <f t="shared" si="386"/>
        <v>86</v>
      </c>
      <c r="R417" s="42">
        <f t="shared" si="386"/>
        <v>142</v>
      </c>
      <c r="S417" s="111"/>
      <c r="T417" s="111"/>
      <c r="U417" s="111"/>
      <c r="V417" s="111"/>
      <c r="W417" s="111"/>
      <c r="X417" s="111"/>
      <c r="Y417" s="111"/>
    </row>
    <row r="418" ht="14.25" customHeight="1">
      <c r="B418" s="39"/>
      <c r="C418" s="109"/>
      <c r="D418" s="77" t="s">
        <v>415</v>
      </c>
      <c r="E418" s="77"/>
      <c r="F418" s="77"/>
      <c r="G418" s="77"/>
      <c r="H418" s="77"/>
      <c r="I418" s="42">
        <v>80.0</v>
      </c>
      <c r="J418" s="110" t="s">
        <v>98</v>
      </c>
      <c r="K418" s="42">
        <v>0.0</v>
      </c>
      <c r="L418" s="42">
        <v>0.0</v>
      </c>
      <c r="M418" s="42">
        <v>24.0</v>
      </c>
      <c r="N418" s="42">
        <v>72.0</v>
      </c>
      <c r="O418" s="42">
        <v>0.0</v>
      </c>
      <c r="P418" s="42">
        <v>0.0</v>
      </c>
      <c r="Q418" s="42">
        <v>66.0</v>
      </c>
      <c r="R418" s="42">
        <v>80.0</v>
      </c>
      <c r="S418" s="111"/>
      <c r="T418" s="111"/>
      <c r="U418" s="111"/>
      <c r="V418" s="111"/>
      <c r="W418" s="111"/>
      <c r="X418" s="111"/>
      <c r="Y418" s="111"/>
    </row>
    <row r="419" ht="14.25" customHeight="1">
      <c r="B419" s="39"/>
      <c r="C419" s="109"/>
      <c r="D419" s="77" t="s">
        <v>416</v>
      </c>
      <c r="E419" s="77"/>
      <c r="F419" s="77"/>
      <c r="G419" s="77"/>
      <c r="H419" s="77"/>
      <c r="I419" s="42">
        <v>10.0</v>
      </c>
      <c r="J419" s="110" t="s">
        <v>98</v>
      </c>
      <c r="K419" s="42">
        <v>0.0</v>
      </c>
      <c r="L419" s="42">
        <v>0.0</v>
      </c>
      <c r="M419" s="42">
        <v>10.0</v>
      </c>
      <c r="N419" s="42">
        <v>10.0</v>
      </c>
      <c r="O419" s="42">
        <v>0.0</v>
      </c>
      <c r="P419" s="42">
        <v>1.0</v>
      </c>
      <c r="Q419" s="42">
        <v>3.0</v>
      </c>
      <c r="R419" s="42">
        <v>10.0</v>
      </c>
      <c r="S419" s="111"/>
      <c r="T419" s="111"/>
      <c r="U419" s="111"/>
      <c r="V419" s="111"/>
      <c r="W419" s="111"/>
      <c r="X419" s="111"/>
      <c r="Y419" s="111"/>
    </row>
    <row r="420" ht="14.25" customHeight="1">
      <c r="B420" s="39"/>
      <c r="C420" s="109"/>
      <c r="D420" s="77" t="s">
        <v>417</v>
      </c>
      <c r="E420" s="77"/>
      <c r="F420" s="77"/>
      <c r="G420" s="77"/>
      <c r="H420" s="77"/>
      <c r="I420" s="42">
        <v>10.0</v>
      </c>
      <c r="J420" s="110" t="s">
        <v>98</v>
      </c>
      <c r="K420" s="42">
        <v>0.0</v>
      </c>
      <c r="L420" s="42">
        <v>0.0</v>
      </c>
      <c r="M420" s="42">
        <v>3.0</v>
      </c>
      <c r="N420" s="42">
        <v>9.0</v>
      </c>
      <c r="O420" s="42">
        <v>0.0</v>
      </c>
      <c r="P420" s="42">
        <v>0.0</v>
      </c>
      <c r="Q420" s="42">
        <v>4.0</v>
      </c>
      <c r="R420" s="42">
        <v>10.0</v>
      </c>
      <c r="S420" s="111"/>
      <c r="T420" s="111"/>
      <c r="U420" s="111"/>
      <c r="V420" s="111"/>
      <c r="W420" s="111"/>
      <c r="X420" s="111"/>
      <c r="Y420" s="111"/>
    </row>
    <row r="421" ht="14.25" customHeight="1">
      <c r="B421" s="39"/>
      <c r="C421" s="109"/>
      <c r="D421" s="77" t="s">
        <v>418</v>
      </c>
      <c r="E421" s="77"/>
      <c r="F421" s="77"/>
      <c r="G421" s="77"/>
      <c r="H421" s="77"/>
      <c r="I421" s="42">
        <v>6.0</v>
      </c>
      <c r="J421" s="110" t="s">
        <v>98</v>
      </c>
      <c r="K421" s="42">
        <v>0.0</v>
      </c>
      <c r="L421" s="42">
        <v>0.0</v>
      </c>
      <c r="M421" s="42">
        <v>6.0</v>
      </c>
      <c r="N421" s="42">
        <v>6.0</v>
      </c>
      <c r="O421" s="42">
        <v>0.0</v>
      </c>
      <c r="P421" s="42">
        <v>0.0</v>
      </c>
      <c r="Q421" s="42">
        <v>3.0</v>
      </c>
      <c r="R421" s="42">
        <v>6.0</v>
      </c>
      <c r="S421" s="111"/>
      <c r="T421" s="111"/>
      <c r="U421" s="111"/>
      <c r="V421" s="111"/>
      <c r="W421" s="111"/>
      <c r="X421" s="111"/>
      <c r="Y421" s="111"/>
    </row>
    <row r="422" ht="14.25" customHeight="1">
      <c r="B422" s="39"/>
      <c r="C422" s="109"/>
      <c r="D422" s="77" t="s">
        <v>419</v>
      </c>
      <c r="E422" s="77"/>
      <c r="F422" s="77"/>
      <c r="G422" s="77"/>
      <c r="H422" s="77"/>
      <c r="I422" s="42">
        <v>36.0</v>
      </c>
      <c r="J422" s="110" t="s">
        <v>98</v>
      </c>
      <c r="K422" s="42">
        <v>0.0</v>
      </c>
      <c r="L422" s="42">
        <v>5.0</v>
      </c>
      <c r="M422" s="42">
        <v>10.0</v>
      </c>
      <c r="N422" s="42">
        <v>30.0</v>
      </c>
      <c r="O422" s="42">
        <v>0.0</v>
      </c>
      <c r="P422" s="42">
        <v>5.0</v>
      </c>
      <c r="Q422" s="42">
        <v>10.0</v>
      </c>
      <c r="R422" s="42">
        <v>36.0</v>
      </c>
      <c r="S422" s="111"/>
      <c r="T422" s="111"/>
      <c r="U422" s="111"/>
      <c r="V422" s="111"/>
      <c r="W422" s="111"/>
      <c r="X422" s="111"/>
      <c r="Y422" s="111"/>
    </row>
    <row r="423" ht="14.25" customHeight="1">
      <c r="B423" s="77" t="s">
        <v>420</v>
      </c>
      <c r="C423" s="77"/>
      <c r="D423" s="77"/>
      <c r="E423" s="77"/>
      <c r="F423" s="77"/>
      <c r="G423" s="77"/>
      <c r="H423" s="77"/>
      <c r="I423" s="159"/>
      <c r="J423" s="103" t="s">
        <v>35</v>
      </c>
      <c r="K423" s="143">
        <f>(SUM(K412,K414,K417)/SUM($N412,$N414,$N417)*100)</f>
        <v>0</v>
      </c>
      <c r="L423" s="143">
        <v>1.17</v>
      </c>
      <c r="M423" s="143">
        <v>30.0</v>
      </c>
      <c r="N423" s="143">
        <f t="shared" ref="N423:O423" si="387">(SUM(N412,N414,N417)/SUM($N412,$N414,$N417)*100)</f>
        <v>100</v>
      </c>
      <c r="O423" s="143">
        <f t="shared" si="387"/>
        <v>0</v>
      </c>
      <c r="P423" s="42">
        <v>1.25</v>
      </c>
      <c r="Q423" s="42">
        <v>16.54</v>
      </c>
      <c r="R423" s="42">
        <v>100.0</v>
      </c>
      <c r="S423" s="46">
        <f t="shared" ref="S423:U423" si="388">IF(K423=0,0,IF((O423/K423*100)&gt;120,120,O423/K423*100))</f>
        <v>0</v>
      </c>
      <c r="T423" s="46">
        <f t="shared" si="388"/>
        <v>106.8376068</v>
      </c>
      <c r="U423" s="46">
        <f t="shared" si="388"/>
        <v>55.13333333</v>
      </c>
      <c r="V423" s="46">
        <f t="shared" ref="V423:Y423" si="389">IF($N423=0,0,IF((O423/$N423*100)&gt;120,120,O423/$N423*100))</f>
        <v>0</v>
      </c>
      <c r="W423" s="46">
        <f t="shared" si="389"/>
        <v>1.25</v>
      </c>
      <c r="X423" s="46">
        <f t="shared" si="389"/>
        <v>16.54</v>
      </c>
      <c r="Y423" s="46">
        <f t="shared" si="389"/>
        <v>100</v>
      </c>
    </row>
    <row r="424" ht="14.25" customHeight="1">
      <c r="B424" s="39"/>
      <c r="C424" s="39"/>
      <c r="D424" s="39"/>
      <c r="E424" s="39"/>
      <c r="F424" s="39"/>
      <c r="G424" s="39"/>
      <c r="H424" s="39"/>
      <c r="I424" s="39"/>
      <c r="J424" s="39"/>
      <c r="K424" s="39"/>
      <c r="L424" s="39"/>
      <c r="M424" s="39"/>
      <c r="N424" s="39"/>
      <c r="O424" s="39"/>
      <c r="P424" s="39"/>
      <c r="Q424" s="39"/>
      <c r="R424" s="39"/>
      <c r="S424" s="39"/>
      <c r="T424" s="39"/>
      <c r="U424" s="39"/>
      <c r="V424" s="39"/>
      <c r="W424" s="39"/>
      <c r="X424" s="39"/>
      <c r="Y424" s="39"/>
    </row>
    <row r="425" ht="14.25" customHeight="1">
      <c r="B425" s="351"/>
      <c r="C425" s="352"/>
      <c r="D425" s="353"/>
      <c r="E425" s="353"/>
      <c r="F425" s="353"/>
      <c r="G425" s="354" t="s">
        <v>463</v>
      </c>
      <c r="H425" s="353"/>
      <c r="I425" s="353"/>
      <c r="J425" s="353"/>
      <c r="K425" s="355"/>
      <c r="L425" s="355"/>
      <c r="M425" s="355"/>
      <c r="N425" s="355"/>
      <c r="O425" s="355"/>
      <c r="P425" s="355"/>
      <c r="Q425" s="355"/>
      <c r="R425" s="355"/>
      <c r="S425" s="356">
        <f t="shared" ref="S425:U425" si="390">IF(SUM(K402:K411,K423)&gt;0,SUM(S402:S411,S423)/SUM(COUNTIF(K402:K411,"&gt;0"),COUNTIF(K423,"&gt;0")),0)</f>
        <v>0</v>
      </c>
      <c r="T425" s="356">
        <f t="shared" si="390"/>
        <v>101.7020437</v>
      </c>
      <c r="U425" s="356">
        <f t="shared" si="390"/>
        <v>95.85555556</v>
      </c>
      <c r="V425" s="356">
        <f t="shared" ref="V425:Y425" si="391">IF(SUM($N402:$N424)&gt;0,SUM(V402:V424)/COUNTIF($N402:$N424,"&gt;0"),0)</f>
        <v>0</v>
      </c>
      <c r="W425" s="356">
        <f t="shared" si="391"/>
        <v>18.16369833</v>
      </c>
      <c r="X425" s="356">
        <f t="shared" si="391"/>
        <v>28.14045444</v>
      </c>
      <c r="Y425" s="356">
        <f t="shared" si="391"/>
        <v>35.57397665</v>
      </c>
    </row>
    <row r="426" ht="14.25" customHeight="1">
      <c r="V426" s="244">
        <f>SUM(V403:V423)</f>
        <v>0</v>
      </c>
      <c r="W426" s="244">
        <f t="shared" ref="W426:Y426" si="392">SUM(W403:W423)/6</f>
        <v>51.46381194</v>
      </c>
      <c r="X426" s="244">
        <f t="shared" si="392"/>
        <v>79.73128758</v>
      </c>
      <c r="Y426" s="244">
        <f t="shared" si="392"/>
        <v>100.7929339</v>
      </c>
    </row>
    <row r="427" ht="14.25" customHeight="1"/>
    <row r="428">
      <c r="B428" s="4" t="s">
        <v>422</v>
      </c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6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</row>
    <row r="429" ht="15.75" customHeight="1">
      <c r="B429" s="187" t="s">
        <v>2</v>
      </c>
      <c r="C429" s="8"/>
      <c r="D429" s="8"/>
      <c r="E429" s="8"/>
      <c r="F429" s="8"/>
      <c r="G429" s="8"/>
      <c r="H429" s="8"/>
      <c r="I429" s="343"/>
      <c r="J429" s="189" t="s">
        <v>3</v>
      </c>
      <c r="K429" s="11"/>
      <c r="L429" s="11"/>
      <c r="M429" s="11"/>
      <c r="N429" s="11"/>
      <c r="O429" s="11"/>
      <c r="P429" s="11"/>
      <c r="Q429" s="11"/>
      <c r="R429" s="12"/>
      <c r="S429" s="189" t="s">
        <v>4</v>
      </c>
      <c r="T429" s="11"/>
      <c r="U429" s="11"/>
      <c r="V429" s="11"/>
      <c r="W429" s="11"/>
      <c r="X429" s="11"/>
      <c r="Y429" s="12"/>
    </row>
    <row r="430" ht="14.25" customHeight="1">
      <c r="B430" s="13"/>
      <c r="I430" s="92"/>
      <c r="J430" s="190" t="s">
        <v>5</v>
      </c>
      <c r="K430" s="191" t="s">
        <v>62</v>
      </c>
      <c r="L430" s="17"/>
      <c r="M430" s="17"/>
      <c r="N430" s="18"/>
      <c r="O430" s="191" t="s">
        <v>63</v>
      </c>
      <c r="P430" s="17"/>
      <c r="Q430" s="17"/>
      <c r="R430" s="18"/>
      <c r="S430" s="191" t="s">
        <v>64</v>
      </c>
      <c r="T430" s="17"/>
      <c r="U430" s="18"/>
      <c r="V430" s="191" t="s">
        <v>9</v>
      </c>
      <c r="W430" s="17"/>
      <c r="X430" s="17"/>
      <c r="Y430" s="18"/>
    </row>
    <row r="431" ht="14.25" customHeight="1">
      <c r="B431" s="19"/>
      <c r="C431" s="20"/>
      <c r="D431" s="20"/>
      <c r="E431" s="20"/>
      <c r="F431" s="20"/>
      <c r="G431" s="20"/>
      <c r="H431" s="20"/>
      <c r="I431" s="21"/>
      <c r="J431" s="22"/>
      <c r="K431" s="192" t="s">
        <v>10</v>
      </c>
      <c r="L431" s="192" t="s">
        <v>11</v>
      </c>
      <c r="M431" s="192" t="s">
        <v>12</v>
      </c>
      <c r="N431" s="192" t="s">
        <v>13</v>
      </c>
      <c r="O431" s="192" t="s">
        <v>10</v>
      </c>
      <c r="P431" s="192" t="s">
        <v>11</v>
      </c>
      <c r="Q431" s="192" t="s">
        <v>12</v>
      </c>
      <c r="R431" s="192" t="s">
        <v>13</v>
      </c>
      <c r="S431" s="192" t="s">
        <v>10</v>
      </c>
      <c r="T431" s="192" t="s">
        <v>11</v>
      </c>
      <c r="U431" s="192" t="s">
        <v>12</v>
      </c>
      <c r="V431" s="192" t="s">
        <v>10</v>
      </c>
      <c r="W431" s="192" t="s">
        <v>11</v>
      </c>
      <c r="X431" s="192" t="s">
        <v>12</v>
      </c>
      <c r="Y431" s="192" t="s">
        <v>13</v>
      </c>
    </row>
    <row r="432" ht="14.25" customHeight="1">
      <c r="B432" s="194">
        <v>-1.0</v>
      </c>
      <c r="C432" s="27"/>
      <c r="D432" s="27"/>
      <c r="E432" s="27"/>
      <c r="F432" s="27"/>
      <c r="G432" s="27"/>
      <c r="H432" s="27"/>
      <c r="I432" s="344"/>
      <c r="J432" s="195">
        <v>-2.0</v>
      </c>
      <c r="K432" s="195">
        <v>-3.0</v>
      </c>
      <c r="L432" s="195">
        <v>-4.0</v>
      </c>
      <c r="M432" s="195">
        <v>-5.0</v>
      </c>
      <c r="N432" s="195">
        <v>-6.0</v>
      </c>
      <c r="O432" s="195">
        <v>-7.0</v>
      </c>
      <c r="P432" s="195">
        <v>-8.0</v>
      </c>
      <c r="Q432" s="195">
        <v>-9.0</v>
      </c>
      <c r="R432" s="195">
        <v>-10.0</v>
      </c>
      <c r="S432" s="195">
        <v>-11.0</v>
      </c>
      <c r="T432" s="195">
        <v>-12.0</v>
      </c>
      <c r="U432" s="195">
        <v>-13.0</v>
      </c>
      <c r="V432" s="195">
        <v>-14.0</v>
      </c>
      <c r="W432" s="195">
        <v>-15.0</v>
      </c>
      <c r="X432" s="195">
        <v>-16.0</v>
      </c>
      <c r="Y432" s="195">
        <v>-17.0</v>
      </c>
    </row>
    <row r="433" ht="14.25" customHeight="1">
      <c r="B433" s="35"/>
      <c r="C433" s="35"/>
      <c r="D433" s="35"/>
      <c r="E433" s="35"/>
      <c r="F433" s="35"/>
      <c r="G433" s="35"/>
      <c r="H433" s="35"/>
      <c r="I433" s="35"/>
      <c r="J433" s="35"/>
      <c r="K433" s="35"/>
      <c r="L433" s="35"/>
      <c r="M433" s="35"/>
      <c r="N433" s="35"/>
      <c r="O433" s="35"/>
      <c r="P433" s="35"/>
      <c r="Q433" s="35"/>
      <c r="R433" s="35"/>
      <c r="S433" s="35"/>
      <c r="T433" s="35"/>
      <c r="U433" s="35"/>
      <c r="V433" s="35"/>
      <c r="W433" s="35"/>
      <c r="X433" s="35"/>
      <c r="Y433" s="35"/>
    </row>
    <row r="434" ht="14.25" customHeight="1">
      <c r="B434" s="77" t="s">
        <v>423</v>
      </c>
      <c r="C434" s="77"/>
      <c r="D434" s="77"/>
      <c r="E434" s="77"/>
      <c r="F434" s="77"/>
      <c r="G434" s="77"/>
      <c r="H434" s="77"/>
      <c r="I434" s="159">
        <v>15.0</v>
      </c>
      <c r="J434" s="103" t="s">
        <v>85</v>
      </c>
      <c r="K434" s="39">
        <f t="shared" ref="K434:Q434" si="393">SUM(K435:K436)</f>
        <v>0</v>
      </c>
      <c r="L434" s="39">
        <f t="shared" si="393"/>
        <v>3</v>
      </c>
      <c r="M434" s="60">
        <f t="shared" si="393"/>
        <v>5</v>
      </c>
      <c r="N434" s="347">
        <f t="shared" si="393"/>
        <v>15</v>
      </c>
      <c r="O434" s="62">
        <f t="shared" si="393"/>
        <v>0</v>
      </c>
      <c r="P434" s="39">
        <f t="shared" si="393"/>
        <v>3</v>
      </c>
      <c r="Q434" s="39">
        <f t="shared" si="393"/>
        <v>5</v>
      </c>
      <c r="R434" s="39">
        <v>15.0</v>
      </c>
      <c r="S434" s="46">
        <f t="shared" ref="S434:U434" si="394">IF(K434=0,0,IF((O434/K434*100)&gt;120,120,O434/K434*100))</f>
        <v>0</v>
      </c>
      <c r="T434" s="46">
        <f t="shared" si="394"/>
        <v>100</v>
      </c>
      <c r="U434" s="46">
        <f t="shared" si="394"/>
        <v>100</v>
      </c>
      <c r="V434" s="46">
        <f t="shared" ref="V434:Y434" si="395">IF($N434=0,0,IF((O434/$N434*100)&gt;120,120,O434/$N434*100))</f>
        <v>0</v>
      </c>
      <c r="W434" s="46">
        <f t="shared" si="395"/>
        <v>20</v>
      </c>
      <c r="X434" s="46">
        <f t="shared" si="395"/>
        <v>33.33333333</v>
      </c>
      <c r="Y434" s="46">
        <f t="shared" si="395"/>
        <v>100</v>
      </c>
    </row>
    <row r="435" ht="14.25" customHeight="1">
      <c r="B435" s="77"/>
      <c r="C435" s="77" t="s">
        <v>424</v>
      </c>
      <c r="D435" s="77"/>
      <c r="E435" s="77"/>
      <c r="F435" s="77"/>
      <c r="G435" s="77"/>
      <c r="H435" s="77"/>
      <c r="I435" s="159">
        <v>15.0</v>
      </c>
      <c r="J435" s="110" t="s">
        <v>87</v>
      </c>
      <c r="K435" s="42">
        <v>0.0</v>
      </c>
      <c r="L435" s="42">
        <v>3.0</v>
      </c>
      <c r="M435" s="42">
        <v>5.0</v>
      </c>
      <c r="N435" s="42">
        <v>15.0</v>
      </c>
      <c r="O435" s="42">
        <v>0.0</v>
      </c>
      <c r="P435" s="42">
        <v>3.0</v>
      </c>
      <c r="Q435" s="42">
        <v>5.0</v>
      </c>
      <c r="R435" s="42">
        <v>15.0</v>
      </c>
      <c r="S435" s="46">
        <f t="shared" ref="S435:U435" si="396">IF(K435=0,0,IF((O435/K435*100)&gt;120,120,O435/K435*100))</f>
        <v>0</v>
      </c>
      <c r="T435" s="46">
        <f t="shared" si="396"/>
        <v>100</v>
      </c>
      <c r="U435" s="46">
        <f t="shared" si="396"/>
        <v>100</v>
      </c>
      <c r="V435" s="46">
        <f t="shared" ref="V435:Y435" si="397">IF($N435=0,0,IF((O435/$N435*100)&gt;120,120,O435/$N435*100))</f>
        <v>0</v>
      </c>
      <c r="W435" s="46">
        <f t="shared" si="397"/>
        <v>20</v>
      </c>
      <c r="X435" s="46">
        <f t="shared" si="397"/>
        <v>33.33333333</v>
      </c>
      <c r="Y435" s="46">
        <f t="shared" si="397"/>
        <v>100</v>
      </c>
    </row>
    <row r="436" ht="14.25" customHeight="1">
      <c r="B436" s="77"/>
      <c r="C436" s="77" t="s">
        <v>425</v>
      </c>
      <c r="D436" s="77"/>
      <c r="E436" s="77"/>
      <c r="F436" s="77"/>
      <c r="G436" s="77"/>
      <c r="H436" s="77"/>
      <c r="I436" s="159">
        <v>0.0</v>
      </c>
      <c r="J436" s="110" t="s">
        <v>66</v>
      </c>
      <c r="K436" s="42">
        <v>0.0</v>
      </c>
      <c r="L436" s="42">
        <v>0.0</v>
      </c>
      <c r="M436" s="42">
        <v>0.0</v>
      </c>
      <c r="N436" s="42">
        <v>0.0</v>
      </c>
      <c r="O436" s="42">
        <v>0.0</v>
      </c>
      <c r="P436" s="42">
        <v>0.0</v>
      </c>
      <c r="Q436" s="42">
        <v>0.0</v>
      </c>
      <c r="R436" s="42">
        <v>0.0</v>
      </c>
      <c r="S436" s="46">
        <f t="shared" ref="S436:U436" si="398">IF(K436=0,0,IF((O436/K436*100)&gt;120,120,O436/K436*100))</f>
        <v>0</v>
      </c>
      <c r="T436" s="46">
        <f t="shared" si="398"/>
        <v>0</v>
      </c>
      <c r="U436" s="46">
        <f t="shared" si="398"/>
        <v>0</v>
      </c>
      <c r="V436" s="46">
        <f t="shared" ref="V436:Y436" si="399">IF($N436=0,0,IF((O436/$N436*100)&gt;120,120,O436/$N436*100))</f>
        <v>0</v>
      </c>
      <c r="W436" s="46">
        <f t="shared" si="399"/>
        <v>0</v>
      </c>
      <c r="X436" s="46">
        <f t="shared" si="399"/>
        <v>0</v>
      </c>
      <c r="Y436" s="46">
        <f t="shared" si="399"/>
        <v>0</v>
      </c>
    </row>
    <row r="437" ht="14.25" customHeight="1">
      <c r="B437" s="77" t="s">
        <v>426</v>
      </c>
      <c r="C437" s="77"/>
      <c r="D437" s="77"/>
      <c r="E437" s="77"/>
      <c r="F437" s="77"/>
      <c r="G437" s="77"/>
      <c r="H437" s="77"/>
      <c r="I437" s="159">
        <v>5.0</v>
      </c>
      <c r="J437" s="103" t="s">
        <v>85</v>
      </c>
      <c r="K437" s="39">
        <f t="shared" ref="K437:Q437" si="400">SUM(K438:K439)</f>
        <v>0</v>
      </c>
      <c r="L437" s="39">
        <f t="shared" si="400"/>
        <v>0</v>
      </c>
      <c r="M437" s="60">
        <f t="shared" si="400"/>
        <v>1</v>
      </c>
      <c r="N437" s="347">
        <f t="shared" si="400"/>
        <v>5</v>
      </c>
      <c r="O437" s="62">
        <f t="shared" si="400"/>
        <v>0</v>
      </c>
      <c r="P437" s="39">
        <f t="shared" si="400"/>
        <v>0</v>
      </c>
      <c r="Q437" s="39">
        <f t="shared" si="400"/>
        <v>1</v>
      </c>
      <c r="R437" s="39">
        <v>5.0</v>
      </c>
      <c r="S437" s="46">
        <f t="shared" ref="S437:U437" si="401">IF(K437=0,0,IF((O437/K437*100)&gt;120,120,O437/K437*100))</f>
        <v>0</v>
      </c>
      <c r="T437" s="46">
        <f t="shared" si="401"/>
        <v>0</v>
      </c>
      <c r="U437" s="46">
        <f t="shared" si="401"/>
        <v>100</v>
      </c>
      <c r="V437" s="46">
        <f t="shared" ref="V437:Y437" si="402">IF($N437=0,0,IF((O437/$N437*100)&gt;120,120,O437/$N437*100))</f>
        <v>0</v>
      </c>
      <c r="W437" s="46">
        <f t="shared" si="402"/>
        <v>0</v>
      </c>
      <c r="X437" s="46">
        <f t="shared" si="402"/>
        <v>20</v>
      </c>
      <c r="Y437" s="46">
        <f t="shared" si="402"/>
        <v>100</v>
      </c>
    </row>
    <row r="438" ht="14.25" customHeight="1">
      <c r="B438" s="77"/>
      <c r="C438" s="77" t="s">
        <v>427</v>
      </c>
      <c r="D438" s="77"/>
      <c r="E438" s="77"/>
      <c r="F438" s="77"/>
      <c r="G438" s="77"/>
      <c r="H438" s="77"/>
      <c r="I438" s="159">
        <v>5.0</v>
      </c>
      <c r="J438" s="110" t="s">
        <v>87</v>
      </c>
      <c r="K438" s="42">
        <v>0.0</v>
      </c>
      <c r="L438" s="42">
        <v>0.0</v>
      </c>
      <c r="M438" s="42">
        <v>1.0</v>
      </c>
      <c r="N438" s="42">
        <v>5.0</v>
      </c>
      <c r="O438" s="42">
        <v>0.0</v>
      </c>
      <c r="P438" s="42">
        <v>0.0</v>
      </c>
      <c r="Q438" s="42">
        <v>1.0</v>
      </c>
      <c r="R438" s="42">
        <v>5.0</v>
      </c>
      <c r="S438" s="46">
        <f t="shared" ref="S438:U438" si="403">IF(K438=0,0,IF((O438/K438*100)&gt;120,120,O438/K438*100))</f>
        <v>0</v>
      </c>
      <c r="T438" s="46">
        <f t="shared" si="403"/>
        <v>0</v>
      </c>
      <c r="U438" s="46">
        <f t="shared" si="403"/>
        <v>100</v>
      </c>
      <c r="V438" s="46">
        <f t="shared" ref="V438:Y438" si="404">IF($N438=0,0,IF((O438/$N438*100)&gt;120,120,O438/$N438*100))</f>
        <v>0</v>
      </c>
      <c r="W438" s="46">
        <f t="shared" si="404"/>
        <v>0</v>
      </c>
      <c r="X438" s="46">
        <f t="shared" si="404"/>
        <v>20</v>
      </c>
      <c r="Y438" s="46">
        <f t="shared" si="404"/>
        <v>100</v>
      </c>
    </row>
    <row r="439" ht="14.25" customHeight="1">
      <c r="B439" s="77"/>
      <c r="C439" s="77" t="s">
        <v>428</v>
      </c>
      <c r="D439" s="77"/>
      <c r="E439" s="77"/>
      <c r="F439" s="77"/>
      <c r="G439" s="77"/>
      <c r="H439" s="77"/>
      <c r="I439" s="159">
        <v>0.0</v>
      </c>
      <c r="J439" s="110" t="s">
        <v>66</v>
      </c>
      <c r="K439" s="42">
        <v>0.0</v>
      </c>
      <c r="L439" s="42">
        <v>0.0</v>
      </c>
      <c r="M439" s="42">
        <v>0.0</v>
      </c>
      <c r="N439" s="42">
        <v>0.0</v>
      </c>
      <c r="O439" s="42">
        <v>0.0</v>
      </c>
      <c r="P439" s="42">
        <v>0.0</v>
      </c>
      <c r="Q439" s="42">
        <v>0.0</v>
      </c>
      <c r="R439" s="42">
        <v>0.0</v>
      </c>
      <c r="S439" s="46">
        <f t="shared" ref="S439:U439" si="405">IF(K439=0,0,IF((O439/K439*100)&gt;120,120,O439/K439*100))</f>
        <v>0</v>
      </c>
      <c r="T439" s="46">
        <f t="shared" si="405"/>
        <v>0</v>
      </c>
      <c r="U439" s="46">
        <f t="shared" si="405"/>
        <v>0</v>
      </c>
      <c r="V439" s="46">
        <f t="shared" ref="V439:Y439" si="406">IF($N439=0,0,IF((O439/$N439*100)&gt;120,120,O439/$N439*100))</f>
        <v>0</v>
      </c>
      <c r="W439" s="46">
        <f t="shared" si="406"/>
        <v>0</v>
      </c>
      <c r="X439" s="46">
        <f t="shared" si="406"/>
        <v>0</v>
      </c>
      <c r="Y439" s="46">
        <f t="shared" si="406"/>
        <v>0</v>
      </c>
    </row>
    <row r="440" ht="14.25" customHeight="1">
      <c r="B440" s="77" t="s">
        <v>429</v>
      </c>
      <c r="C440" s="77"/>
      <c r="D440" s="77"/>
      <c r="E440" s="77"/>
      <c r="F440" s="77"/>
      <c r="G440" s="77"/>
      <c r="H440" s="77"/>
      <c r="I440" s="159">
        <v>9.0</v>
      </c>
      <c r="J440" s="103" t="s">
        <v>87</v>
      </c>
      <c r="K440" s="42">
        <v>0.0</v>
      </c>
      <c r="L440" s="42">
        <v>3.0</v>
      </c>
      <c r="M440" s="42">
        <v>5.0</v>
      </c>
      <c r="N440" s="42">
        <v>9.0</v>
      </c>
      <c r="O440" s="42">
        <v>0.0</v>
      </c>
      <c r="P440" s="42">
        <v>3.0</v>
      </c>
      <c r="Q440" s="42">
        <v>5.0</v>
      </c>
      <c r="R440" s="42">
        <v>9.0</v>
      </c>
      <c r="S440" s="46">
        <f t="shared" ref="S440:U440" si="407">IF(K440=0,0,IF((O440/K440*100)&gt;120,120,O440/K440*100))</f>
        <v>0</v>
      </c>
      <c r="T440" s="46">
        <f t="shared" si="407"/>
        <v>100</v>
      </c>
      <c r="U440" s="46">
        <f t="shared" si="407"/>
        <v>100</v>
      </c>
      <c r="V440" s="46">
        <f t="shared" ref="V440:Y440" si="408">IF($N440=0,0,IF((O440/$N440*100)&gt;120,120,O440/$N440*100))</f>
        <v>0</v>
      </c>
      <c r="W440" s="46">
        <f t="shared" si="408"/>
        <v>33.33333333</v>
      </c>
      <c r="X440" s="46">
        <f t="shared" si="408"/>
        <v>55.55555556</v>
      </c>
      <c r="Y440" s="46">
        <f t="shared" si="408"/>
        <v>100</v>
      </c>
    </row>
    <row r="441" ht="14.25" customHeight="1">
      <c r="B441" s="77" t="s">
        <v>430</v>
      </c>
      <c r="C441" s="77"/>
      <c r="D441" s="77"/>
      <c r="E441" s="77"/>
      <c r="F441" s="77"/>
      <c r="G441" s="77"/>
      <c r="H441" s="77"/>
      <c r="I441" s="159">
        <v>2.0</v>
      </c>
      <c r="J441" s="103" t="s">
        <v>95</v>
      </c>
      <c r="K441" s="42">
        <v>1.0</v>
      </c>
      <c r="L441" s="42">
        <v>1.0</v>
      </c>
      <c r="M441" s="42">
        <v>1.0</v>
      </c>
      <c r="N441" s="42">
        <v>2.0</v>
      </c>
      <c r="O441" s="42">
        <v>1.0</v>
      </c>
      <c r="P441" s="42">
        <v>1.0</v>
      </c>
      <c r="Q441" s="42">
        <v>1.0</v>
      </c>
      <c r="R441" s="42">
        <v>2.0</v>
      </c>
      <c r="S441" s="46">
        <f t="shared" ref="S441:U441" si="409">IF(K441=0,0,IF((O441/K441*100)&gt;120,120,O441/K441*100))</f>
        <v>100</v>
      </c>
      <c r="T441" s="46">
        <f t="shared" si="409"/>
        <v>100</v>
      </c>
      <c r="U441" s="46">
        <f t="shared" si="409"/>
        <v>100</v>
      </c>
      <c r="V441" s="46">
        <f t="shared" ref="V441:Y441" si="410">IF($N441=0,0,IF((O441/$N441*100)&gt;120,120,O441/$N441*100))</f>
        <v>50</v>
      </c>
      <c r="W441" s="46">
        <f t="shared" si="410"/>
        <v>50</v>
      </c>
      <c r="X441" s="46">
        <f t="shared" si="410"/>
        <v>50</v>
      </c>
      <c r="Y441" s="46">
        <f t="shared" si="410"/>
        <v>100</v>
      </c>
    </row>
    <row r="442" ht="14.25" customHeight="1">
      <c r="B442" s="39"/>
      <c r="C442" s="39"/>
      <c r="D442" s="39"/>
      <c r="E442" s="39"/>
      <c r="F442" s="39"/>
      <c r="G442" s="39"/>
      <c r="H442" s="39"/>
      <c r="I442" s="39"/>
      <c r="J442" s="39"/>
      <c r="K442" s="39"/>
      <c r="L442" s="39"/>
      <c r="M442" s="39"/>
      <c r="N442" s="39"/>
      <c r="O442" s="39"/>
      <c r="P442" s="39"/>
      <c r="Q442" s="39"/>
      <c r="R442" s="39"/>
      <c r="S442" s="39"/>
      <c r="T442" s="39"/>
      <c r="U442" s="39"/>
      <c r="V442" s="39"/>
      <c r="W442" s="39"/>
      <c r="X442" s="39"/>
      <c r="Y442" s="39"/>
    </row>
    <row r="443" ht="14.25" customHeight="1">
      <c r="B443" s="351"/>
      <c r="C443" s="352"/>
      <c r="D443" s="353"/>
      <c r="E443" s="353"/>
      <c r="F443" s="353"/>
      <c r="G443" s="354" t="s">
        <v>464</v>
      </c>
      <c r="H443" s="353"/>
      <c r="I443" s="353"/>
      <c r="J443" s="353"/>
      <c r="K443" s="355"/>
      <c r="L443" s="355"/>
      <c r="M443" s="355"/>
      <c r="N443" s="355"/>
      <c r="O443" s="355"/>
      <c r="P443" s="355"/>
      <c r="Q443" s="355"/>
      <c r="R443" s="355"/>
      <c r="S443" s="356">
        <f t="shared" ref="S443:U443" si="411">IF(SUM(K433:K442)&gt;0,SUM(S433:S442)/COUNTIF(K433:K442,"&gt;0"),0)</f>
        <v>100</v>
      </c>
      <c r="T443" s="356">
        <f t="shared" si="411"/>
        <v>100</v>
      </c>
      <c r="U443" s="356">
        <f t="shared" si="411"/>
        <v>100</v>
      </c>
      <c r="V443" s="356">
        <f>IF(SUM($N433:$N442)&gt;0,SUM(V433:V442)/COUNTIF($N433:$N442,"&gt;0"),0)</f>
        <v>8.333333333</v>
      </c>
      <c r="W443" s="356">
        <f>IF(SUM($N434:$N441)&gt;0,SUM(W434:W441)/COUNTIF($N434:$N441,"&gt;0"),0)</f>
        <v>20.55555556</v>
      </c>
      <c r="X443" s="356">
        <f t="shared" ref="X443:Y443" si="412">IF(SUM($N433:$N442)&gt;0,SUM(X433:X442)/COUNTIF($N433:$N442,"&gt;0"),0)</f>
        <v>35.37037037</v>
      </c>
      <c r="Y443" s="356">
        <f t="shared" si="412"/>
        <v>100</v>
      </c>
    </row>
    <row r="444" ht="14.25" customHeight="1">
      <c r="V444" s="244">
        <f>SUM(V434:V441)/1</f>
        <v>50</v>
      </c>
      <c r="W444" s="244">
        <f>SUM(W434:W441)/4</f>
        <v>30.83333333</v>
      </c>
      <c r="X444" s="244">
        <f t="shared" ref="X444:Y444" si="413">SUM(X434:X441)/6</f>
        <v>35.37037037</v>
      </c>
      <c r="Y444" s="244">
        <f t="shared" si="413"/>
        <v>100</v>
      </c>
    </row>
    <row r="445" ht="14.25" customHeight="1"/>
    <row r="446" ht="14.25" customHeight="1">
      <c r="B446" s="4" t="s">
        <v>432</v>
      </c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6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</row>
    <row r="447" ht="15.75" customHeight="1">
      <c r="B447" s="215" t="s">
        <v>2</v>
      </c>
      <c r="C447" s="8"/>
      <c r="D447" s="8"/>
      <c r="E447" s="8"/>
      <c r="F447" s="8"/>
      <c r="G447" s="8"/>
      <c r="H447" s="8"/>
      <c r="I447" s="216"/>
      <c r="J447" s="217" t="s">
        <v>3</v>
      </c>
      <c r="K447" s="11"/>
      <c r="L447" s="11"/>
      <c r="M447" s="11"/>
      <c r="N447" s="11"/>
      <c r="O447" s="11"/>
      <c r="P447" s="11"/>
      <c r="Q447" s="11"/>
      <c r="R447" s="12"/>
      <c r="S447" s="217" t="s">
        <v>4</v>
      </c>
      <c r="T447" s="11"/>
      <c r="U447" s="11"/>
      <c r="V447" s="11"/>
      <c r="W447" s="11"/>
      <c r="X447" s="11"/>
      <c r="Y447" s="12"/>
    </row>
    <row r="448" ht="14.25" customHeight="1">
      <c r="B448" s="13"/>
      <c r="I448" s="92"/>
      <c r="J448" s="218" t="s">
        <v>5</v>
      </c>
      <c r="K448" s="219" t="s">
        <v>62</v>
      </c>
      <c r="L448" s="17"/>
      <c r="M448" s="17"/>
      <c r="N448" s="18"/>
      <c r="O448" s="219" t="s">
        <v>63</v>
      </c>
      <c r="P448" s="17"/>
      <c r="Q448" s="17"/>
      <c r="R448" s="18"/>
      <c r="S448" s="219" t="s">
        <v>64</v>
      </c>
      <c r="T448" s="17"/>
      <c r="U448" s="18"/>
      <c r="V448" s="219" t="s">
        <v>9</v>
      </c>
      <c r="W448" s="17"/>
      <c r="X448" s="17"/>
      <c r="Y448" s="18"/>
    </row>
    <row r="449" ht="14.25" customHeight="1">
      <c r="B449" s="19"/>
      <c r="C449" s="20"/>
      <c r="D449" s="20"/>
      <c r="E449" s="20"/>
      <c r="F449" s="20"/>
      <c r="G449" s="20"/>
      <c r="H449" s="20"/>
      <c r="I449" s="21"/>
      <c r="J449" s="22"/>
      <c r="K449" s="220" t="s">
        <v>10</v>
      </c>
      <c r="L449" s="220" t="s">
        <v>11</v>
      </c>
      <c r="M449" s="220" t="s">
        <v>12</v>
      </c>
      <c r="N449" s="220" t="s">
        <v>13</v>
      </c>
      <c r="O449" s="220" t="s">
        <v>10</v>
      </c>
      <c r="P449" s="220" t="s">
        <v>11</v>
      </c>
      <c r="Q449" s="220" t="s">
        <v>12</v>
      </c>
      <c r="R449" s="220" t="s">
        <v>13</v>
      </c>
      <c r="S449" s="220" t="s">
        <v>10</v>
      </c>
      <c r="T449" s="220" t="s">
        <v>11</v>
      </c>
      <c r="U449" s="220" t="s">
        <v>12</v>
      </c>
      <c r="V449" s="220" t="s">
        <v>10</v>
      </c>
      <c r="W449" s="220" t="s">
        <v>11</v>
      </c>
      <c r="X449" s="220" t="s">
        <v>12</v>
      </c>
      <c r="Y449" s="220" t="s">
        <v>13</v>
      </c>
    </row>
    <row r="450" ht="14.25" customHeight="1">
      <c r="B450" s="222">
        <v>-1.0</v>
      </c>
      <c r="C450" s="27"/>
      <c r="D450" s="27"/>
      <c r="E450" s="27"/>
      <c r="F450" s="27"/>
      <c r="G450" s="27"/>
      <c r="H450" s="27"/>
      <c r="I450" s="223"/>
      <c r="J450" s="224">
        <v>-2.0</v>
      </c>
      <c r="K450" s="224">
        <v>-3.0</v>
      </c>
      <c r="L450" s="224">
        <v>-4.0</v>
      </c>
      <c r="M450" s="224">
        <v>-5.0</v>
      </c>
      <c r="N450" s="224">
        <v>-6.0</v>
      </c>
      <c r="O450" s="224">
        <v>-7.0</v>
      </c>
      <c r="P450" s="224">
        <v>-8.0</v>
      </c>
      <c r="Q450" s="224">
        <v>-9.0</v>
      </c>
      <c r="R450" s="224">
        <v>-10.0</v>
      </c>
      <c r="S450" s="224">
        <v>-11.0</v>
      </c>
      <c r="T450" s="224">
        <v>-12.0</v>
      </c>
      <c r="U450" s="224">
        <v>-13.0</v>
      </c>
      <c r="V450" s="224">
        <v>-14.0</v>
      </c>
      <c r="W450" s="224">
        <v>-15.0</v>
      </c>
      <c r="X450" s="224">
        <v>-16.0</v>
      </c>
      <c r="Y450" s="224">
        <v>-17.0</v>
      </c>
    </row>
    <row r="451" ht="14.25" customHeight="1">
      <c r="B451" s="35"/>
      <c r="C451" s="35"/>
      <c r="D451" s="35"/>
      <c r="E451" s="35"/>
      <c r="F451" s="35"/>
      <c r="G451" s="35"/>
      <c r="H451" s="35"/>
      <c r="I451" s="35"/>
      <c r="J451" s="35"/>
      <c r="K451" s="35"/>
      <c r="L451" s="35"/>
      <c r="M451" s="35"/>
      <c r="N451" s="35"/>
      <c r="O451" s="35"/>
      <c r="P451" s="35"/>
      <c r="Q451" s="35"/>
      <c r="R451" s="35"/>
      <c r="S451" s="35"/>
      <c r="T451" s="35"/>
      <c r="U451" s="35"/>
      <c r="V451" s="35"/>
      <c r="W451" s="35"/>
      <c r="X451" s="35"/>
      <c r="Y451" s="35"/>
    </row>
    <row r="452" ht="14.25" customHeight="1">
      <c r="B452" s="39" t="s">
        <v>149</v>
      </c>
      <c r="C452" s="77"/>
      <c r="D452" s="77"/>
      <c r="E452" s="77"/>
      <c r="F452" s="77"/>
      <c r="G452" s="77"/>
      <c r="H452" s="77"/>
      <c r="I452" s="77"/>
      <c r="J452" s="103" t="s">
        <v>98</v>
      </c>
      <c r="K452" s="42"/>
      <c r="L452" s="42"/>
      <c r="M452" s="42"/>
      <c r="N452" s="358"/>
      <c r="O452" s="42"/>
      <c r="P452" s="42"/>
      <c r="Q452" s="42"/>
      <c r="R452" s="42"/>
      <c r="S452" s="46">
        <f t="shared" ref="S452:U452" si="414">IF(K452=0,0,IF((O452/K452*100)&gt;120,120,O452/K452*100))</f>
        <v>0</v>
      </c>
      <c r="T452" s="46">
        <f t="shared" si="414"/>
        <v>0</v>
      </c>
      <c r="U452" s="46">
        <f t="shared" si="414"/>
        <v>0</v>
      </c>
      <c r="V452" s="46">
        <f t="shared" ref="V452:Y452" si="415">IF($N452=0,0,IF((O452/$N452*100)&gt;120,120,O452/$N452*100))</f>
        <v>0</v>
      </c>
      <c r="W452" s="46">
        <f t="shared" si="415"/>
        <v>0</v>
      </c>
      <c r="X452" s="46">
        <f t="shared" si="415"/>
        <v>0</v>
      </c>
      <c r="Y452" s="46">
        <f t="shared" si="415"/>
        <v>0</v>
      </c>
    </row>
    <row r="453" ht="14.25" customHeight="1">
      <c r="B453" s="39" t="s">
        <v>150</v>
      </c>
      <c r="C453" s="77"/>
      <c r="D453" s="77"/>
      <c r="E453" s="77"/>
      <c r="F453" s="77"/>
      <c r="G453" s="77"/>
      <c r="H453" s="77"/>
      <c r="I453" s="77"/>
      <c r="J453" s="103" t="s">
        <v>98</v>
      </c>
      <c r="K453" s="42"/>
      <c r="L453" s="42"/>
      <c r="M453" s="42"/>
      <c r="N453" s="359"/>
      <c r="O453" s="42"/>
      <c r="P453" s="42"/>
      <c r="Q453" s="42"/>
      <c r="R453" s="42"/>
      <c r="S453" s="46">
        <f t="shared" ref="S453:U453" si="416">IF(K453=0,0,IF((O453/K453*100)&gt;120,120,O453/K453*100))</f>
        <v>0</v>
      </c>
      <c r="T453" s="46">
        <f t="shared" si="416"/>
        <v>0</v>
      </c>
      <c r="U453" s="46">
        <f t="shared" si="416"/>
        <v>0</v>
      </c>
      <c r="V453" s="46">
        <f t="shared" ref="V453:Y453" si="417">IF($N453=0,0,IF((O453/$N453*100)&gt;120,120,O453/$N453*100))</f>
        <v>0</v>
      </c>
      <c r="W453" s="46">
        <f t="shared" si="417"/>
        <v>0</v>
      </c>
      <c r="X453" s="46">
        <f t="shared" si="417"/>
        <v>0</v>
      </c>
      <c r="Y453" s="46">
        <f t="shared" si="417"/>
        <v>0</v>
      </c>
    </row>
    <row r="454" ht="14.25" customHeight="1">
      <c r="B454" s="39" t="s">
        <v>152</v>
      </c>
      <c r="C454" s="77"/>
      <c r="D454" s="77"/>
      <c r="E454" s="77"/>
      <c r="F454" s="77"/>
      <c r="G454" s="77"/>
      <c r="H454" s="77"/>
      <c r="I454" s="77">
        <v>100.0</v>
      </c>
      <c r="J454" s="103" t="s">
        <v>35</v>
      </c>
      <c r="K454" s="42">
        <v>25.0</v>
      </c>
      <c r="L454" s="42">
        <v>50.0</v>
      </c>
      <c r="M454" s="42">
        <v>75.0</v>
      </c>
      <c r="N454" s="359">
        <v>100.0</v>
      </c>
      <c r="O454" s="42">
        <v>25.0</v>
      </c>
      <c r="P454" s="42">
        <v>42.0</v>
      </c>
      <c r="Q454" s="42">
        <v>75.0</v>
      </c>
      <c r="R454" s="42">
        <v>100.0</v>
      </c>
      <c r="S454" s="46">
        <f t="shared" ref="S454:U454" si="418">IF(K454=0,0,IF((O454/K454*100)&gt;120,120,O454/K454*100))</f>
        <v>100</v>
      </c>
      <c r="T454" s="46">
        <f t="shared" si="418"/>
        <v>84</v>
      </c>
      <c r="U454" s="46">
        <f t="shared" si="418"/>
        <v>100</v>
      </c>
      <c r="V454" s="46">
        <f t="shared" ref="V454:Y454" si="419">IF($N454=0,0,IF((O454/$N454*100)&gt;120,120,O454/$N454*100))</f>
        <v>25</v>
      </c>
      <c r="W454" s="46">
        <f t="shared" si="419"/>
        <v>42</v>
      </c>
      <c r="X454" s="46">
        <f t="shared" si="419"/>
        <v>75</v>
      </c>
      <c r="Y454" s="46">
        <f t="shared" si="419"/>
        <v>100</v>
      </c>
    </row>
    <row r="455" ht="14.25" customHeight="1">
      <c r="B455" s="39" t="s">
        <v>153</v>
      </c>
      <c r="C455" s="77"/>
      <c r="D455" s="77"/>
      <c r="E455" s="77"/>
      <c r="F455" s="77"/>
      <c r="G455" s="77"/>
      <c r="H455" s="77"/>
      <c r="I455" s="77">
        <v>2.0</v>
      </c>
      <c r="J455" s="103" t="s">
        <v>85</v>
      </c>
      <c r="K455" s="42"/>
      <c r="L455" s="42">
        <v>1.0</v>
      </c>
      <c r="M455" s="42">
        <v>1.0</v>
      </c>
      <c r="N455" s="359">
        <v>2.0</v>
      </c>
      <c r="O455" s="42">
        <v>0.0</v>
      </c>
      <c r="P455" s="42">
        <v>0.0</v>
      </c>
      <c r="Q455" s="42">
        <v>1.0</v>
      </c>
      <c r="R455" s="42">
        <v>2.0</v>
      </c>
      <c r="S455" s="46">
        <f t="shared" ref="S455:U455" si="420">IF(K455=0,0,IF((O455/K455*100)&gt;120,120,O455/K455*100))</f>
        <v>0</v>
      </c>
      <c r="T455" s="46">
        <f t="shared" si="420"/>
        <v>0</v>
      </c>
      <c r="U455" s="46">
        <f t="shared" si="420"/>
        <v>100</v>
      </c>
      <c r="V455" s="46">
        <f t="shared" ref="V455:Y455" si="421">IF($N455=0,0,IF((O455/$N455*100)&gt;120,120,O455/$N455*100))</f>
        <v>0</v>
      </c>
      <c r="W455" s="46">
        <f t="shared" si="421"/>
        <v>0</v>
      </c>
      <c r="X455" s="46">
        <f t="shared" si="421"/>
        <v>50</v>
      </c>
      <c r="Y455" s="46">
        <f t="shared" si="421"/>
        <v>100</v>
      </c>
    </row>
    <row r="456" ht="14.25" customHeight="1">
      <c r="B456" s="77"/>
      <c r="C456" s="77"/>
      <c r="D456" s="77"/>
      <c r="E456" s="77"/>
      <c r="F456" s="77"/>
      <c r="G456" s="77"/>
      <c r="H456" s="77"/>
      <c r="I456" s="77"/>
      <c r="J456" s="77"/>
      <c r="K456" s="77"/>
      <c r="L456" s="77"/>
      <c r="M456" s="77"/>
      <c r="N456" s="77"/>
      <c r="O456" s="77"/>
      <c r="P456" s="77"/>
      <c r="Q456" s="77"/>
      <c r="R456" s="77"/>
      <c r="S456" s="77"/>
      <c r="T456" s="77"/>
      <c r="U456" s="77"/>
      <c r="V456" s="77"/>
      <c r="W456" s="77"/>
      <c r="X456" s="77"/>
      <c r="Y456" s="77"/>
    </row>
    <row r="457" ht="14.25" customHeight="1">
      <c r="B457" s="360"/>
      <c r="C457" s="361"/>
      <c r="D457" s="362"/>
      <c r="E457" s="362"/>
      <c r="F457" s="362"/>
      <c r="G457" s="363" t="s">
        <v>465</v>
      </c>
      <c r="H457" s="362"/>
      <c r="I457" s="362"/>
      <c r="J457" s="362"/>
      <c r="K457" s="364"/>
      <c r="L457" s="364"/>
      <c r="M457" s="364"/>
      <c r="N457" s="364"/>
      <c r="O457" s="364"/>
      <c r="P457" s="364"/>
      <c r="Q457" s="364"/>
      <c r="R457" s="364"/>
      <c r="S457" s="365">
        <f t="shared" ref="S457:U457" si="422">IF(SUM(K454:K455)&gt;0,SUM(S454:S455)/COUNTIF(K454:K455,"&gt;0"),0)</f>
        <v>100</v>
      </c>
      <c r="T457" s="365">
        <f t="shared" si="422"/>
        <v>42</v>
      </c>
      <c r="U457" s="365">
        <f t="shared" si="422"/>
        <v>100</v>
      </c>
      <c r="V457" s="365">
        <f t="shared" ref="V457:Y457" si="423">IF(SUM($N451:$N456)&gt;0,SUM(V451:V456)/COUNTIF($N451:$N456,"&gt;0"),0)</f>
        <v>12.5</v>
      </c>
      <c r="W457" s="365">
        <f t="shared" si="423"/>
        <v>21</v>
      </c>
      <c r="X457" s="365">
        <f t="shared" si="423"/>
        <v>62.5</v>
      </c>
      <c r="Y457" s="365">
        <f t="shared" si="423"/>
        <v>100</v>
      </c>
    </row>
    <row r="458" ht="14.25" customHeight="1">
      <c r="V458" s="244">
        <f t="shared" ref="V458:W458" si="424">SUM(V452:V455)/1</f>
        <v>25</v>
      </c>
      <c r="W458" s="244">
        <f t="shared" si="424"/>
        <v>42</v>
      </c>
      <c r="X458" s="244">
        <f t="shared" ref="X458:Y458" si="425">SUM(X452:X455)/2</f>
        <v>62.5</v>
      </c>
      <c r="Y458" s="244">
        <f t="shared" si="425"/>
        <v>100</v>
      </c>
    </row>
    <row r="459" ht="14.25" customHeight="1"/>
    <row r="460" ht="14.25" customHeight="1">
      <c r="B460" s="4" t="s">
        <v>434</v>
      </c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6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</row>
    <row r="461" ht="15.75" customHeight="1">
      <c r="B461" s="215" t="s">
        <v>2</v>
      </c>
      <c r="C461" s="8"/>
      <c r="D461" s="8"/>
      <c r="E461" s="8"/>
      <c r="F461" s="8"/>
      <c r="G461" s="8"/>
      <c r="H461" s="8"/>
      <c r="I461" s="216"/>
      <c r="J461" s="217" t="s">
        <v>3</v>
      </c>
      <c r="K461" s="11"/>
      <c r="L461" s="11"/>
      <c r="M461" s="11"/>
      <c r="N461" s="11"/>
      <c r="O461" s="11"/>
      <c r="P461" s="11"/>
      <c r="Q461" s="11"/>
      <c r="R461" s="12"/>
      <c r="S461" s="217" t="s">
        <v>4</v>
      </c>
      <c r="T461" s="11"/>
      <c r="U461" s="11"/>
      <c r="V461" s="11"/>
      <c r="W461" s="11"/>
      <c r="X461" s="11"/>
      <c r="Y461" s="12"/>
    </row>
    <row r="462" ht="14.25" customHeight="1">
      <c r="B462" s="13"/>
      <c r="I462" s="92"/>
      <c r="J462" s="218" t="s">
        <v>5</v>
      </c>
      <c r="K462" s="219" t="s">
        <v>62</v>
      </c>
      <c r="L462" s="17"/>
      <c r="M462" s="17"/>
      <c r="N462" s="18"/>
      <c r="O462" s="219" t="s">
        <v>63</v>
      </c>
      <c r="P462" s="17"/>
      <c r="Q462" s="17"/>
      <c r="R462" s="18"/>
      <c r="S462" s="219" t="s">
        <v>64</v>
      </c>
      <c r="T462" s="17"/>
      <c r="U462" s="18"/>
      <c r="V462" s="219" t="s">
        <v>9</v>
      </c>
      <c r="W462" s="17"/>
      <c r="X462" s="17"/>
      <c r="Y462" s="18"/>
    </row>
    <row r="463" ht="14.25" customHeight="1">
      <c r="B463" s="19"/>
      <c r="C463" s="20"/>
      <c r="D463" s="20"/>
      <c r="E463" s="20"/>
      <c r="F463" s="20"/>
      <c r="G463" s="20"/>
      <c r="H463" s="20"/>
      <c r="I463" s="21"/>
      <c r="J463" s="22"/>
      <c r="K463" s="220" t="s">
        <v>10</v>
      </c>
      <c r="L463" s="220" t="s">
        <v>11</v>
      </c>
      <c r="M463" s="220" t="s">
        <v>12</v>
      </c>
      <c r="N463" s="220" t="s">
        <v>13</v>
      </c>
      <c r="O463" s="220" t="s">
        <v>10</v>
      </c>
      <c r="P463" s="220" t="s">
        <v>11</v>
      </c>
      <c r="Q463" s="220" t="s">
        <v>12</v>
      </c>
      <c r="R463" s="220" t="s">
        <v>13</v>
      </c>
      <c r="S463" s="220" t="s">
        <v>10</v>
      </c>
      <c r="T463" s="220" t="s">
        <v>11</v>
      </c>
      <c r="U463" s="220" t="s">
        <v>12</v>
      </c>
      <c r="V463" s="220" t="s">
        <v>10</v>
      </c>
      <c r="W463" s="220" t="s">
        <v>11</v>
      </c>
      <c r="X463" s="220" t="s">
        <v>12</v>
      </c>
      <c r="Y463" s="220" t="s">
        <v>13</v>
      </c>
    </row>
    <row r="464" ht="14.25" customHeight="1">
      <c r="B464" s="222">
        <v>-1.0</v>
      </c>
      <c r="C464" s="27"/>
      <c r="D464" s="27"/>
      <c r="E464" s="27"/>
      <c r="F464" s="27"/>
      <c r="G464" s="27"/>
      <c r="H464" s="27"/>
      <c r="I464" s="223"/>
      <c r="J464" s="224">
        <v>-2.0</v>
      </c>
      <c r="K464" s="224">
        <v>-3.0</v>
      </c>
      <c r="L464" s="224">
        <v>-4.0</v>
      </c>
      <c r="M464" s="224">
        <v>-5.0</v>
      </c>
      <c r="N464" s="224">
        <v>-6.0</v>
      </c>
      <c r="O464" s="224">
        <v>-7.0</v>
      </c>
      <c r="P464" s="224">
        <v>-8.0</v>
      </c>
      <c r="Q464" s="224">
        <v>-9.0</v>
      </c>
      <c r="R464" s="224">
        <v>-10.0</v>
      </c>
      <c r="S464" s="224">
        <v>-11.0</v>
      </c>
      <c r="T464" s="224">
        <v>-12.0</v>
      </c>
      <c r="U464" s="224">
        <v>-13.0</v>
      </c>
      <c r="V464" s="224">
        <v>-14.0</v>
      </c>
      <c r="W464" s="224">
        <v>-15.0</v>
      </c>
      <c r="X464" s="224">
        <v>-16.0</v>
      </c>
      <c r="Y464" s="224">
        <v>-17.0</v>
      </c>
    </row>
    <row r="465" ht="14.25" customHeight="1">
      <c r="B465" s="35"/>
      <c r="C465" s="35"/>
      <c r="D465" s="35"/>
      <c r="E465" s="35"/>
      <c r="F465" s="35"/>
      <c r="G465" s="35"/>
      <c r="H465" s="35"/>
      <c r="I465" s="35"/>
      <c r="J465" s="35"/>
      <c r="K465" s="35"/>
      <c r="L465" s="35"/>
      <c r="M465" s="35"/>
      <c r="N465" s="35"/>
      <c r="O465" s="35"/>
      <c r="P465" s="35"/>
      <c r="Q465" s="35"/>
      <c r="R465" s="35"/>
      <c r="S465" s="35"/>
      <c r="T465" s="35"/>
      <c r="U465" s="35"/>
      <c r="V465" s="35"/>
      <c r="W465" s="35"/>
      <c r="X465" s="35"/>
      <c r="Y465" s="35"/>
    </row>
    <row r="466" ht="14.25" customHeight="1">
      <c r="B466" s="39" t="s">
        <v>149</v>
      </c>
      <c r="C466" s="77"/>
      <c r="D466" s="77"/>
      <c r="E466" s="77"/>
      <c r="F466" s="77"/>
      <c r="G466" s="77"/>
      <c r="H466" s="77"/>
      <c r="I466" s="77">
        <v>1562.0</v>
      </c>
      <c r="J466" s="103" t="s">
        <v>98</v>
      </c>
      <c r="K466" s="42">
        <v>0.0</v>
      </c>
      <c r="L466" s="42">
        <v>0.0</v>
      </c>
      <c r="M466" s="42">
        <v>1562.0</v>
      </c>
      <c r="N466" s="358">
        <v>1562.0</v>
      </c>
      <c r="O466" s="42">
        <v>0.0</v>
      </c>
      <c r="P466" s="42">
        <f>0.3*M466</f>
        <v>468.6</v>
      </c>
      <c r="Q466" s="42">
        <v>1562.0</v>
      </c>
      <c r="R466" s="42">
        <v>1562.0</v>
      </c>
      <c r="S466" s="46">
        <f t="shared" ref="S466:U466" si="426">IF(K466=0,0,IF((O466/K466*100)&gt;120,120,O466/K466*100))</f>
        <v>0</v>
      </c>
      <c r="T466" s="46">
        <f t="shared" si="426"/>
        <v>0</v>
      </c>
      <c r="U466" s="46">
        <f t="shared" si="426"/>
        <v>100</v>
      </c>
      <c r="V466" s="46">
        <f t="shared" ref="V466:Y466" si="427">IF($N466=0,0,IF((O466/$N466*100)&gt;120,120,O466/$N466*100))</f>
        <v>0</v>
      </c>
      <c r="W466" s="46">
        <f t="shared" si="427"/>
        <v>30</v>
      </c>
      <c r="X466" s="46">
        <f t="shared" si="427"/>
        <v>100</v>
      </c>
      <c r="Y466" s="46">
        <f t="shared" si="427"/>
        <v>100</v>
      </c>
    </row>
    <row r="467" ht="14.25" customHeight="1">
      <c r="B467" s="39" t="s">
        <v>150</v>
      </c>
      <c r="C467" s="77"/>
      <c r="D467" s="77"/>
      <c r="E467" s="77"/>
      <c r="F467" s="77"/>
      <c r="G467" s="77"/>
      <c r="H467" s="77"/>
      <c r="I467" s="77">
        <v>15698.0</v>
      </c>
      <c r="J467" s="103" t="s">
        <v>98</v>
      </c>
      <c r="K467" s="42">
        <v>0.0</v>
      </c>
      <c r="L467" s="42">
        <v>0.0</v>
      </c>
      <c r="M467" s="42">
        <v>15698.0</v>
      </c>
      <c r="N467" s="359">
        <v>15698.0</v>
      </c>
      <c r="O467" s="42">
        <v>0.0</v>
      </c>
      <c r="P467" s="42">
        <f>M467*0.3</f>
        <v>4709.4</v>
      </c>
      <c r="Q467" s="42">
        <v>15698.0</v>
      </c>
      <c r="R467" s="42">
        <v>15698.0</v>
      </c>
      <c r="S467" s="46">
        <f t="shared" ref="S467:U467" si="428">IF(K467=0,0,IF((O467/K467*100)&gt;120,120,O467/K467*100))</f>
        <v>0</v>
      </c>
      <c r="T467" s="46">
        <f t="shared" si="428"/>
        <v>0</v>
      </c>
      <c r="U467" s="46">
        <f t="shared" si="428"/>
        <v>100</v>
      </c>
      <c r="V467" s="46">
        <f t="shared" ref="V467:Y467" si="429">IF($N467=0,0,IF((O467/$N467*100)&gt;120,120,O467/$N467*100))</f>
        <v>0</v>
      </c>
      <c r="W467" s="46">
        <f t="shared" si="429"/>
        <v>30</v>
      </c>
      <c r="X467" s="46">
        <f t="shared" si="429"/>
        <v>100</v>
      </c>
      <c r="Y467" s="46">
        <f t="shared" si="429"/>
        <v>100</v>
      </c>
    </row>
    <row r="468" ht="14.25" customHeight="1">
      <c r="B468" s="39" t="s">
        <v>153</v>
      </c>
      <c r="C468" s="77"/>
      <c r="D468" s="77"/>
      <c r="E468" s="77"/>
      <c r="F468" s="77"/>
      <c r="G468" s="77"/>
      <c r="H468" s="77"/>
      <c r="I468" s="77">
        <v>2.0</v>
      </c>
      <c r="J468" s="103" t="s">
        <v>85</v>
      </c>
      <c r="K468" s="42">
        <v>0.0</v>
      </c>
      <c r="L468" s="42">
        <v>1.0</v>
      </c>
      <c r="M468" s="42">
        <v>1.0</v>
      </c>
      <c r="N468" s="359">
        <v>2.0</v>
      </c>
      <c r="O468" s="42">
        <v>0.0</v>
      </c>
      <c r="P468" s="42">
        <v>1.0</v>
      </c>
      <c r="Q468" s="42">
        <v>1.0</v>
      </c>
      <c r="R468" s="42">
        <v>2.0</v>
      </c>
      <c r="S468" s="46">
        <f t="shared" ref="S468:U468" si="430">IF(K468=0,0,IF((O468/K468*100)&gt;120,120,O468/K468*100))</f>
        <v>0</v>
      </c>
      <c r="T468" s="46">
        <f t="shared" si="430"/>
        <v>100</v>
      </c>
      <c r="U468" s="46">
        <f t="shared" si="430"/>
        <v>100</v>
      </c>
      <c r="V468" s="46">
        <f t="shared" ref="V468:Y468" si="431">IF($N468=0,0,IF((O468/$N468*100)&gt;120,120,O468/$N468*100))</f>
        <v>0</v>
      </c>
      <c r="W468" s="46">
        <f t="shared" si="431"/>
        <v>50</v>
      </c>
      <c r="X468" s="46">
        <f t="shared" si="431"/>
        <v>50</v>
      </c>
      <c r="Y468" s="46">
        <f t="shared" si="431"/>
        <v>100</v>
      </c>
    </row>
    <row r="469" ht="14.25" customHeight="1">
      <c r="B469" s="39"/>
      <c r="C469" s="39"/>
      <c r="D469" s="39"/>
      <c r="E469" s="39"/>
      <c r="F469" s="39"/>
      <c r="G469" s="39"/>
      <c r="H469" s="39"/>
      <c r="I469" s="39"/>
      <c r="J469" s="39"/>
      <c r="K469" s="39"/>
      <c r="L469" s="39"/>
      <c r="M469" s="39"/>
      <c r="N469" s="39"/>
      <c r="O469" s="39"/>
      <c r="P469" s="39"/>
      <c r="Q469" s="39"/>
      <c r="R469" s="39"/>
      <c r="S469" s="39"/>
      <c r="T469" s="39"/>
      <c r="U469" s="39"/>
      <c r="V469" s="39"/>
      <c r="W469" s="39"/>
      <c r="X469" s="39"/>
      <c r="Y469" s="39"/>
    </row>
    <row r="470" ht="14.25" customHeight="1">
      <c r="B470" s="360"/>
      <c r="C470" s="361"/>
      <c r="D470" s="362"/>
      <c r="E470" s="362"/>
      <c r="F470" s="362"/>
      <c r="G470" s="363" t="s">
        <v>466</v>
      </c>
      <c r="H470" s="362"/>
      <c r="I470" s="362"/>
      <c r="J470" s="362"/>
      <c r="K470" s="364"/>
      <c r="L470" s="364"/>
      <c r="M470" s="364"/>
      <c r="N470" s="364"/>
      <c r="O470" s="364"/>
      <c r="P470" s="364"/>
      <c r="Q470" s="364"/>
      <c r="R470" s="364"/>
      <c r="S470" s="365">
        <f t="shared" ref="S470:U470" si="432">IF(SUM(K465:K469)&gt;0,SUM(S465:S469)/COUNTIF(K465:K469,"&gt;0"),0)</f>
        <v>0</v>
      </c>
      <c r="T470" s="365">
        <f t="shared" si="432"/>
        <v>100</v>
      </c>
      <c r="U470" s="365">
        <f t="shared" si="432"/>
        <v>100</v>
      </c>
      <c r="V470" s="365">
        <f t="shared" ref="V470:Y470" si="433">IF(SUM($N465:$N469)&gt;0,SUM(V465:V469)/COUNTIF($N465:$N469,"&gt;0"),0)</f>
        <v>0</v>
      </c>
      <c r="W470" s="365">
        <f t="shared" si="433"/>
        <v>36.66666667</v>
      </c>
      <c r="X470" s="365">
        <f t="shared" si="433"/>
        <v>83.33333333</v>
      </c>
      <c r="Y470" s="365">
        <f t="shared" si="433"/>
        <v>100</v>
      </c>
    </row>
    <row r="471" ht="14.25" customHeight="1">
      <c r="V471" s="244">
        <f>SUM(V466:V468)</f>
        <v>0</v>
      </c>
      <c r="W471" s="244">
        <f t="shared" ref="W471:Y471" si="434">SUM(W466:W468)/3</f>
        <v>36.66666667</v>
      </c>
      <c r="X471" s="244">
        <f t="shared" si="434"/>
        <v>83.33333333</v>
      </c>
      <c r="Y471" s="244">
        <f t="shared" si="434"/>
        <v>100</v>
      </c>
    </row>
    <row r="472" ht="14.25" customHeight="1"/>
    <row r="473" ht="14.25" customHeight="1">
      <c r="B473" s="4" t="s">
        <v>436</v>
      </c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6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</row>
    <row r="474" ht="15.75" customHeight="1">
      <c r="B474" s="215" t="s">
        <v>2</v>
      </c>
      <c r="C474" s="8"/>
      <c r="D474" s="8"/>
      <c r="E474" s="8"/>
      <c r="F474" s="8"/>
      <c r="G474" s="8"/>
      <c r="H474" s="8"/>
      <c r="I474" s="216"/>
      <c r="J474" s="217" t="s">
        <v>3</v>
      </c>
      <c r="K474" s="11"/>
      <c r="L474" s="11"/>
      <c r="M474" s="11"/>
      <c r="N474" s="11"/>
      <c r="O474" s="11"/>
      <c r="P474" s="11"/>
      <c r="Q474" s="11"/>
      <c r="R474" s="12"/>
      <c r="S474" s="217" t="s">
        <v>4</v>
      </c>
      <c r="T474" s="11"/>
      <c r="U474" s="11"/>
      <c r="V474" s="11"/>
      <c r="W474" s="11"/>
      <c r="X474" s="11"/>
      <c r="Y474" s="12"/>
    </row>
    <row r="475" ht="14.25" customHeight="1">
      <c r="B475" s="13"/>
      <c r="I475" s="92"/>
      <c r="J475" s="218" t="s">
        <v>5</v>
      </c>
      <c r="K475" s="219" t="s">
        <v>62</v>
      </c>
      <c r="L475" s="17"/>
      <c r="M475" s="17"/>
      <c r="N475" s="18"/>
      <c r="O475" s="219" t="s">
        <v>63</v>
      </c>
      <c r="P475" s="17"/>
      <c r="Q475" s="17"/>
      <c r="R475" s="18"/>
      <c r="S475" s="219" t="s">
        <v>64</v>
      </c>
      <c r="T475" s="17"/>
      <c r="U475" s="18"/>
      <c r="V475" s="219" t="s">
        <v>9</v>
      </c>
      <c r="W475" s="17"/>
      <c r="X475" s="17"/>
      <c r="Y475" s="18"/>
    </row>
    <row r="476" ht="14.25" customHeight="1">
      <c r="B476" s="19"/>
      <c r="C476" s="20"/>
      <c r="D476" s="20"/>
      <c r="E476" s="20"/>
      <c r="F476" s="20"/>
      <c r="G476" s="20"/>
      <c r="H476" s="20"/>
      <c r="I476" s="21"/>
      <c r="J476" s="22"/>
      <c r="K476" s="220" t="s">
        <v>10</v>
      </c>
      <c r="L476" s="220" t="s">
        <v>11</v>
      </c>
      <c r="M476" s="220" t="s">
        <v>12</v>
      </c>
      <c r="N476" s="220" t="s">
        <v>13</v>
      </c>
      <c r="O476" s="220" t="s">
        <v>10</v>
      </c>
      <c r="P476" s="220" t="s">
        <v>11</v>
      </c>
      <c r="Q476" s="220" t="s">
        <v>12</v>
      </c>
      <c r="R476" s="220" t="s">
        <v>13</v>
      </c>
      <c r="S476" s="220" t="s">
        <v>10</v>
      </c>
      <c r="T476" s="220" t="s">
        <v>11</v>
      </c>
      <c r="U476" s="220" t="s">
        <v>12</v>
      </c>
      <c r="V476" s="220" t="s">
        <v>10</v>
      </c>
      <c r="W476" s="220" t="s">
        <v>11</v>
      </c>
      <c r="X476" s="220" t="s">
        <v>12</v>
      </c>
      <c r="Y476" s="220" t="s">
        <v>13</v>
      </c>
    </row>
    <row r="477" ht="14.25" customHeight="1">
      <c r="B477" s="222">
        <v>-1.0</v>
      </c>
      <c r="C477" s="27"/>
      <c r="D477" s="27"/>
      <c r="E477" s="27"/>
      <c r="F477" s="27"/>
      <c r="G477" s="27"/>
      <c r="H477" s="27"/>
      <c r="I477" s="223"/>
      <c r="J477" s="224">
        <v>-2.0</v>
      </c>
      <c r="K477" s="224">
        <v>-3.0</v>
      </c>
      <c r="L477" s="224">
        <v>-4.0</v>
      </c>
      <c r="M477" s="224">
        <v>-5.0</v>
      </c>
      <c r="N477" s="224">
        <v>-6.0</v>
      </c>
      <c r="O477" s="224">
        <v>-7.0</v>
      </c>
      <c r="P477" s="224">
        <v>-8.0</v>
      </c>
      <c r="Q477" s="224">
        <v>-9.0</v>
      </c>
      <c r="R477" s="224">
        <v>-10.0</v>
      </c>
      <c r="S477" s="224">
        <v>-11.0</v>
      </c>
      <c r="T477" s="224">
        <v>-12.0</v>
      </c>
      <c r="U477" s="224">
        <v>-13.0</v>
      </c>
      <c r="V477" s="224">
        <v>-14.0</v>
      </c>
      <c r="W477" s="224">
        <v>-15.0</v>
      </c>
      <c r="X477" s="224">
        <v>-16.0</v>
      </c>
      <c r="Y477" s="224">
        <v>-17.0</v>
      </c>
    </row>
    <row r="478" ht="14.25" customHeight="1">
      <c r="B478" s="35"/>
      <c r="C478" s="35"/>
      <c r="D478" s="35"/>
      <c r="E478" s="35"/>
      <c r="F478" s="35"/>
      <c r="G478" s="35"/>
      <c r="H478" s="35"/>
      <c r="I478" s="35"/>
      <c r="J478" s="35"/>
      <c r="K478" s="35"/>
      <c r="L478" s="35"/>
      <c r="M478" s="35"/>
      <c r="N478" s="35"/>
      <c r="O478" s="35"/>
      <c r="P478" s="35"/>
      <c r="Q478" s="35"/>
      <c r="R478" s="35"/>
      <c r="S478" s="35"/>
      <c r="T478" s="35"/>
      <c r="U478" s="35"/>
      <c r="V478" s="35"/>
      <c r="W478" s="35"/>
      <c r="X478" s="35"/>
      <c r="Y478" s="35"/>
    </row>
    <row r="479" ht="14.25" customHeight="1">
      <c r="B479" s="39" t="s">
        <v>151</v>
      </c>
      <c r="C479" s="77"/>
      <c r="D479" s="77"/>
      <c r="E479" s="77"/>
      <c r="F479" s="77"/>
      <c r="G479" s="77"/>
      <c r="H479" s="77"/>
      <c r="I479" s="77">
        <v>100.0</v>
      </c>
      <c r="J479" s="103" t="s">
        <v>35</v>
      </c>
      <c r="K479" s="42">
        <v>0.0</v>
      </c>
      <c r="L479" s="42">
        <v>20.0</v>
      </c>
      <c r="M479" s="42">
        <v>60.0</v>
      </c>
      <c r="N479" s="359">
        <v>100.0</v>
      </c>
      <c r="O479" s="42">
        <v>0.0</v>
      </c>
      <c r="P479" s="42">
        <v>20.0</v>
      </c>
      <c r="Q479" s="42">
        <v>100.0</v>
      </c>
      <c r="R479" s="42">
        <v>100.0</v>
      </c>
      <c r="S479" s="46">
        <f t="shared" ref="S479:U479" si="435">IF(K479=0,0,IF((O479/K479*100)&gt;120,120,O479/K479*100))</f>
        <v>0</v>
      </c>
      <c r="T479" s="46">
        <f t="shared" si="435"/>
        <v>100</v>
      </c>
      <c r="U479" s="46">
        <f t="shared" si="435"/>
        <v>120</v>
      </c>
      <c r="V479" s="46">
        <f t="shared" ref="V479:Y479" si="436">IF($N479=0,0,IF((O479/$N479*100)&gt;120,120,O479/$N479*100))</f>
        <v>0</v>
      </c>
      <c r="W479" s="46">
        <f t="shared" si="436"/>
        <v>20</v>
      </c>
      <c r="X479" s="46">
        <f t="shared" si="436"/>
        <v>100</v>
      </c>
      <c r="Y479" s="46">
        <f t="shared" si="436"/>
        <v>100</v>
      </c>
    </row>
    <row r="480" ht="14.25" customHeight="1">
      <c r="B480" s="39" t="s">
        <v>153</v>
      </c>
      <c r="C480" s="77"/>
      <c r="D480" s="77"/>
      <c r="E480" s="77"/>
      <c r="F480" s="77"/>
      <c r="G480" s="77"/>
      <c r="H480" s="77"/>
      <c r="I480" s="77">
        <v>38.0</v>
      </c>
      <c r="J480" s="103" t="s">
        <v>85</v>
      </c>
      <c r="K480" s="42">
        <v>5.0</v>
      </c>
      <c r="L480" s="371">
        <v>14.0</v>
      </c>
      <c r="M480" s="42">
        <v>23.0</v>
      </c>
      <c r="N480" s="359">
        <v>38.0</v>
      </c>
      <c r="O480" s="42">
        <v>5.0</v>
      </c>
      <c r="P480" s="371">
        <v>14.0</v>
      </c>
      <c r="Q480" s="42">
        <v>23.0</v>
      </c>
      <c r="R480" s="42">
        <v>37.0</v>
      </c>
      <c r="S480" s="46">
        <f t="shared" ref="S480:U480" si="437">IF(K480=0,0,IF((O480/K480*100)&gt;120,120,O480/K480*100))</f>
        <v>100</v>
      </c>
      <c r="T480" s="46">
        <f t="shared" si="437"/>
        <v>100</v>
      </c>
      <c r="U480" s="46">
        <f t="shared" si="437"/>
        <v>100</v>
      </c>
      <c r="V480" s="46">
        <f t="shared" ref="V480:Y480" si="438">IF($N480=0,0,IF((O480/$N480*100)&gt;120,120,O480/$N480*100))</f>
        <v>13.15789474</v>
      </c>
      <c r="W480" s="46">
        <f t="shared" si="438"/>
        <v>36.84210526</v>
      </c>
      <c r="X480" s="46">
        <f t="shared" si="438"/>
        <v>60.52631579</v>
      </c>
      <c r="Y480" s="46">
        <f t="shared" si="438"/>
        <v>97.36842105</v>
      </c>
    </row>
    <row r="481" ht="14.25" customHeight="1">
      <c r="B481" s="39" t="s">
        <v>154</v>
      </c>
      <c r="C481" s="77"/>
      <c r="D481" s="77"/>
      <c r="E481" s="77"/>
      <c r="F481" s="77"/>
      <c r="G481" s="77"/>
      <c r="H481" s="77"/>
      <c r="I481" s="77">
        <v>5.0</v>
      </c>
      <c r="J481" s="103" t="s">
        <v>155</v>
      </c>
      <c r="K481" s="42">
        <v>0.0</v>
      </c>
      <c r="L481" s="42">
        <v>0.0</v>
      </c>
      <c r="M481" s="42">
        <v>3.0</v>
      </c>
      <c r="N481" s="359">
        <v>5.0</v>
      </c>
      <c r="O481" s="42">
        <v>0.0</v>
      </c>
      <c r="P481" s="42">
        <v>0.0</v>
      </c>
      <c r="Q481" s="42">
        <v>1.0</v>
      </c>
      <c r="R481" s="42">
        <v>5.0</v>
      </c>
      <c r="S481" s="46">
        <f t="shared" ref="S481:U481" si="439">IF(K481=0,0,IF((O481/K481*100)&gt;120,120,O481/K481*100))</f>
        <v>0</v>
      </c>
      <c r="T481" s="46">
        <f t="shared" si="439"/>
        <v>0</v>
      </c>
      <c r="U481" s="46">
        <f t="shared" si="439"/>
        <v>33.33333333</v>
      </c>
      <c r="V481" s="46">
        <f t="shared" ref="V481:Y481" si="440">IF($N481=0,0,IF((O481/$N481*100)&gt;120,120,O481/$N481*100))</f>
        <v>0</v>
      </c>
      <c r="W481" s="46">
        <f t="shared" si="440"/>
        <v>0</v>
      </c>
      <c r="X481" s="46">
        <f t="shared" si="440"/>
        <v>20</v>
      </c>
      <c r="Y481" s="46">
        <f t="shared" si="440"/>
        <v>100</v>
      </c>
    </row>
    <row r="482" ht="14.25" customHeight="1">
      <c r="B482" s="39" t="s">
        <v>156</v>
      </c>
      <c r="C482" s="77"/>
      <c r="D482" s="77"/>
      <c r="E482" s="77"/>
      <c r="F482" s="77"/>
      <c r="G482" s="77"/>
      <c r="H482" s="77"/>
      <c r="I482" s="77">
        <v>4.0</v>
      </c>
      <c r="J482" s="103" t="s">
        <v>155</v>
      </c>
      <c r="K482" s="42">
        <v>0.0</v>
      </c>
      <c r="L482" s="42">
        <v>0.0</v>
      </c>
      <c r="M482" s="42">
        <v>3.0</v>
      </c>
      <c r="N482" s="359">
        <v>4.0</v>
      </c>
      <c r="O482" s="42">
        <v>0.0</v>
      </c>
      <c r="P482" s="42">
        <v>0.0</v>
      </c>
      <c r="Q482" s="42">
        <v>1.0</v>
      </c>
      <c r="R482" s="42">
        <v>5.0</v>
      </c>
      <c r="S482" s="46">
        <f t="shared" ref="S482:U482" si="441">IF(K482=0,0,IF((O482/K482*100)&gt;120,120,O482/K482*100))</f>
        <v>0</v>
      </c>
      <c r="T482" s="46">
        <f t="shared" si="441"/>
        <v>0</v>
      </c>
      <c r="U482" s="46">
        <f t="shared" si="441"/>
        <v>33.33333333</v>
      </c>
      <c r="V482" s="46">
        <f t="shared" ref="V482:Y482" si="442">IF($N482=0,0,IF((O482/$N482*100)&gt;120,120,O482/$N482*100))</f>
        <v>0</v>
      </c>
      <c r="W482" s="46">
        <f t="shared" si="442"/>
        <v>0</v>
      </c>
      <c r="X482" s="46">
        <f t="shared" si="442"/>
        <v>25</v>
      </c>
      <c r="Y482" s="46">
        <f t="shared" si="442"/>
        <v>120</v>
      </c>
    </row>
    <row r="483" ht="14.25" customHeight="1">
      <c r="B483" s="39" t="s">
        <v>157</v>
      </c>
      <c r="C483" s="77"/>
      <c r="D483" s="77"/>
      <c r="E483" s="77"/>
      <c r="F483" s="77"/>
      <c r="G483" s="77"/>
      <c r="H483" s="77"/>
      <c r="I483" s="77">
        <v>5.0</v>
      </c>
      <c r="J483" s="103" t="s">
        <v>158</v>
      </c>
      <c r="K483" s="42">
        <v>2.0</v>
      </c>
      <c r="L483" s="42">
        <v>3.0</v>
      </c>
      <c r="M483" s="42">
        <v>4.0</v>
      </c>
      <c r="N483" s="359">
        <v>5.0</v>
      </c>
      <c r="O483" s="42">
        <v>2.0</v>
      </c>
      <c r="P483" s="42">
        <v>3.0</v>
      </c>
      <c r="Q483" s="42">
        <v>6.0</v>
      </c>
      <c r="R483" s="42">
        <v>6.0</v>
      </c>
      <c r="S483" s="46">
        <f t="shared" ref="S483:U483" si="443">IF(K483=0,0,IF((O483/K483*100)&gt;120,120,O483/K483*100))</f>
        <v>100</v>
      </c>
      <c r="T483" s="46">
        <f t="shared" si="443"/>
        <v>100</v>
      </c>
      <c r="U483" s="46">
        <f t="shared" si="443"/>
        <v>120</v>
      </c>
      <c r="V483" s="46">
        <f t="shared" ref="V483:Y483" si="444">IF($N483=0,0,IF((O483/$N483*100)&gt;120,120,O483/$N483*100))</f>
        <v>40</v>
      </c>
      <c r="W483" s="46">
        <f t="shared" si="444"/>
        <v>60</v>
      </c>
      <c r="X483" s="46">
        <f t="shared" si="444"/>
        <v>120</v>
      </c>
      <c r="Y483" s="46">
        <f t="shared" si="444"/>
        <v>120</v>
      </c>
    </row>
    <row r="484" ht="14.25" customHeight="1">
      <c r="B484" s="39" t="s">
        <v>159</v>
      </c>
      <c r="C484" s="77"/>
      <c r="D484" s="77"/>
      <c r="E484" s="77"/>
      <c r="F484" s="77"/>
      <c r="G484" s="77"/>
      <c r="H484" s="77"/>
      <c r="I484" s="77">
        <v>15.0</v>
      </c>
      <c r="J484" s="103" t="s">
        <v>160</v>
      </c>
      <c r="K484" s="42">
        <v>0.0</v>
      </c>
      <c r="L484" s="42">
        <v>5.0</v>
      </c>
      <c r="M484" s="42">
        <v>10.0</v>
      </c>
      <c r="N484" s="359">
        <v>15.0</v>
      </c>
      <c r="O484" s="42">
        <v>0.0</v>
      </c>
      <c r="P484" s="42">
        <v>5.0</v>
      </c>
      <c r="Q484" s="42">
        <v>10.0</v>
      </c>
      <c r="R484" s="42">
        <v>20.0</v>
      </c>
      <c r="S484" s="46">
        <f t="shared" ref="S484:U484" si="445">IF(K484=0,0,IF((O484/K484*100)&gt;120,120,O484/K484*100))</f>
        <v>0</v>
      </c>
      <c r="T484" s="46">
        <f t="shared" si="445"/>
        <v>100</v>
      </c>
      <c r="U484" s="46">
        <f t="shared" si="445"/>
        <v>100</v>
      </c>
      <c r="V484" s="46">
        <f t="shared" ref="V484:Y484" si="446">IF($N484=0,0,IF((O484/$N484*100)&gt;120,120,O484/$N484*100))</f>
        <v>0</v>
      </c>
      <c r="W484" s="46">
        <f t="shared" si="446"/>
        <v>33.33333333</v>
      </c>
      <c r="X484" s="46">
        <f t="shared" si="446"/>
        <v>66.66666667</v>
      </c>
      <c r="Y484" s="46">
        <f t="shared" si="446"/>
        <v>120</v>
      </c>
    </row>
    <row r="485" ht="14.25" customHeight="1">
      <c r="B485" s="39" t="s">
        <v>161</v>
      </c>
      <c r="C485" s="77"/>
      <c r="D485" s="77"/>
      <c r="E485" s="77"/>
      <c r="F485" s="77"/>
      <c r="G485" s="77"/>
      <c r="H485" s="77"/>
      <c r="I485" s="77">
        <v>0.0</v>
      </c>
      <c r="J485" s="103" t="s">
        <v>160</v>
      </c>
      <c r="K485" s="42">
        <v>0.0</v>
      </c>
      <c r="L485" s="42">
        <v>0.0</v>
      </c>
      <c r="M485" s="42">
        <v>0.0</v>
      </c>
      <c r="N485" s="359">
        <v>0.0</v>
      </c>
      <c r="O485" s="42">
        <v>0.0</v>
      </c>
      <c r="P485" s="42">
        <v>0.0</v>
      </c>
      <c r="Q485" s="42">
        <v>0.0</v>
      </c>
      <c r="R485" s="42">
        <v>0.0</v>
      </c>
      <c r="S485" s="46">
        <f t="shared" ref="S485:U485" si="447">IF(K485=0,0,IF((O485/K485*100)&gt;120,120,O485/K485*100))</f>
        <v>0</v>
      </c>
      <c r="T485" s="46">
        <f t="shared" si="447"/>
        <v>0</v>
      </c>
      <c r="U485" s="46">
        <f t="shared" si="447"/>
        <v>0</v>
      </c>
      <c r="V485" s="46">
        <f t="shared" ref="V485:Y485" si="448">IF($N485=0,0,IF((O485/$N485*100)&gt;120,120,O485/$N485*100))</f>
        <v>0</v>
      </c>
      <c r="W485" s="46">
        <f t="shared" si="448"/>
        <v>0</v>
      </c>
      <c r="X485" s="46">
        <f t="shared" si="448"/>
        <v>0</v>
      </c>
      <c r="Y485" s="46">
        <f t="shared" si="448"/>
        <v>0</v>
      </c>
    </row>
    <row r="486" ht="14.25" customHeight="1">
      <c r="B486" s="39" t="s">
        <v>162</v>
      </c>
      <c r="C486" s="77"/>
      <c r="D486" s="77"/>
      <c r="E486" s="77"/>
      <c r="F486" s="77"/>
      <c r="G486" s="77"/>
      <c r="H486" s="77"/>
      <c r="I486" s="77">
        <v>92.6</v>
      </c>
      <c r="J486" s="103" t="s">
        <v>163</v>
      </c>
      <c r="K486" s="42">
        <v>0.0</v>
      </c>
      <c r="L486" s="42">
        <v>0.0</v>
      </c>
      <c r="M486" s="42">
        <v>0.0</v>
      </c>
      <c r="N486" s="359">
        <v>92.6</v>
      </c>
      <c r="O486" s="42">
        <v>0.0</v>
      </c>
      <c r="P486" s="42">
        <v>0.0</v>
      </c>
      <c r="Q486" s="42">
        <v>0.0</v>
      </c>
      <c r="R486" s="42">
        <v>92.92</v>
      </c>
      <c r="S486" s="46">
        <f t="shared" ref="S486:U486" si="449">IF(K486=0,0,IF((O486/K486*100)&gt;120,120,O486/K486*100))</f>
        <v>0</v>
      </c>
      <c r="T486" s="46">
        <f t="shared" si="449"/>
        <v>0</v>
      </c>
      <c r="U486" s="46">
        <f t="shared" si="449"/>
        <v>0</v>
      </c>
      <c r="V486" s="46">
        <f t="shared" ref="V486:Y486" si="450">IF($N486=0,0,IF((O486/$N486*100)&gt;120,120,O486/$N486*100))</f>
        <v>0</v>
      </c>
      <c r="W486" s="46">
        <f t="shared" si="450"/>
        <v>0</v>
      </c>
      <c r="X486" s="46">
        <f t="shared" si="450"/>
        <v>0</v>
      </c>
      <c r="Y486" s="46">
        <f t="shared" si="450"/>
        <v>100.3455724</v>
      </c>
    </row>
    <row r="487" ht="14.25" customHeight="1">
      <c r="B487" s="39" t="s">
        <v>164</v>
      </c>
      <c r="C487" s="77"/>
      <c r="D487" s="77"/>
      <c r="E487" s="77"/>
      <c r="F487" s="77"/>
      <c r="G487" s="77"/>
      <c r="H487" s="77"/>
      <c r="I487" s="77">
        <v>70000.0</v>
      </c>
      <c r="J487" s="103" t="s">
        <v>165</v>
      </c>
      <c r="K487" s="42">
        <v>30000.0</v>
      </c>
      <c r="L487" s="42">
        <v>40000.0</v>
      </c>
      <c r="M487" s="42">
        <v>50000.0</v>
      </c>
      <c r="N487" s="372">
        <v>70000.0</v>
      </c>
      <c r="O487" s="371">
        <v>30970.0</v>
      </c>
      <c r="P487" s="42">
        <v>56565.0</v>
      </c>
      <c r="Q487" s="42">
        <v>78378.0</v>
      </c>
      <c r="R487" s="42">
        <v>102418.0</v>
      </c>
      <c r="S487" s="46">
        <f t="shared" ref="S487:U487" si="451">IF(K487=0,0,IF((O487/K487*100)&gt;120,120,O487/K487*100))</f>
        <v>103.2333333</v>
      </c>
      <c r="T487" s="46">
        <f t="shared" si="451"/>
        <v>120</v>
      </c>
      <c r="U487" s="46">
        <f t="shared" si="451"/>
        <v>120</v>
      </c>
      <c r="V487" s="46">
        <f t="shared" ref="V487:Y487" si="452">IF($N487=0,0,IF((O487/$N487*100)&gt;120,120,O487/$N487*100))</f>
        <v>44.24285714</v>
      </c>
      <c r="W487" s="46">
        <f t="shared" si="452"/>
        <v>80.80714286</v>
      </c>
      <c r="X487" s="46">
        <f t="shared" si="452"/>
        <v>111.9685714</v>
      </c>
      <c r="Y487" s="46">
        <f t="shared" si="452"/>
        <v>120</v>
      </c>
    </row>
    <row r="488" ht="14.25" customHeight="1">
      <c r="B488" s="39"/>
      <c r="C488" s="39"/>
      <c r="D488" s="39"/>
      <c r="E488" s="39"/>
      <c r="F488" s="39"/>
      <c r="G488" s="39"/>
      <c r="H488" s="39"/>
      <c r="I488" s="39"/>
      <c r="J488" s="39"/>
      <c r="K488" s="39"/>
      <c r="L488" s="39"/>
      <c r="M488" s="39"/>
      <c r="N488" s="39"/>
      <c r="O488" s="39"/>
      <c r="P488" s="39"/>
      <c r="Q488" s="39"/>
      <c r="R488" s="39"/>
      <c r="S488" s="39"/>
      <c r="T488" s="39"/>
      <c r="U488" s="39"/>
      <c r="V488" s="39"/>
      <c r="W488" s="39"/>
      <c r="X488" s="39"/>
      <c r="Y488" s="39"/>
    </row>
    <row r="489" ht="14.25" customHeight="1">
      <c r="B489" s="360"/>
      <c r="C489" s="361"/>
      <c r="D489" s="362"/>
      <c r="E489" s="362"/>
      <c r="F489" s="362"/>
      <c r="G489" s="363" t="s">
        <v>467</v>
      </c>
      <c r="H489" s="362"/>
      <c r="I489" s="362"/>
      <c r="J489" s="362"/>
      <c r="K489" s="364"/>
      <c r="L489" s="364"/>
      <c r="M489" s="364"/>
      <c r="N489" s="364"/>
      <c r="O489" s="364"/>
      <c r="P489" s="364"/>
      <c r="Q489" s="364"/>
      <c r="R489" s="364"/>
      <c r="S489" s="365">
        <f t="shared" ref="S489:U489" si="453">IF(SUM(K478:K488)&gt;0,SUM(S478:S488)/COUNTIF(K478:K488,"&gt;0"),0)</f>
        <v>101.0777778</v>
      </c>
      <c r="T489" s="365">
        <f t="shared" si="453"/>
        <v>104</v>
      </c>
      <c r="U489" s="365">
        <f t="shared" si="453"/>
        <v>89.52380952</v>
      </c>
      <c r="V489" s="365">
        <f t="shared" ref="V489:Y489" si="454">IF(SUM($N478:$N488)&gt;0,SUM(V478:V488)/COUNTIF($N478:$N488,"&gt;0"),0)</f>
        <v>12.17509398</v>
      </c>
      <c r="W489" s="365">
        <f t="shared" si="454"/>
        <v>28.87282268</v>
      </c>
      <c r="X489" s="365">
        <f t="shared" si="454"/>
        <v>63.02019424</v>
      </c>
      <c r="Y489" s="365">
        <f t="shared" si="454"/>
        <v>109.7142492</v>
      </c>
    </row>
    <row r="490" ht="14.25" customHeight="1">
      <c r="V490" s="244">
        <f>SUM(V479:V487)/3</f>
        <v>32.46691729</v>
      </c>
      <c r="W490" s="244">
        <f>SUM(W479:W487)/5</f>
        <v>46.19651629</v>
      </c>
      <c r="X490" s="244">
        <f>SUM(X479:X487)/7</f>
        <v>72.02307913</v>
      </c>
      <c r="Y490" s="244">
        <f>SUM(Y479:Y487)/8</f>
        <v>109.7142492</v>
      </c>
    </row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</sheetData>
  <mergeCells count="200">
    <mergeCell ref="S4:U4"/>
    <mergeCell ref="V4:Y4"/>
    <mergeCell ref="S16:Y16"/>
    <mergeCell ref="S17:U17"/>
    <mergeCell ref="V17:Y17"/>
    <mergeCell ref="S30:Y30"/>
    <mergeCell ref="S31:U31"/>
    <mergeCell ref="V31:Y31"/>
    <mergeCell ref="S44:Y44"/>
    <mergeCell ref="S45:U45"/>
    <mergeCell ref="V45:Y45"/>
    <mergeCell ref="S55:Y55"/>
    <mergeCell ref="S56:U56"/>
    <mergeCell ref="V56:Y56"/>
    <mergeCell ref="B58:H58"/>
    <mergeCell ref="B71:H73"/>
    <mergeCell ref="I71:I73"/>
    <mergeCell ref="J71:R71"/>
    <mergeCell ref="J72:J73"/>
    <mergeCell ref="K72:N72"/>
    <mergeCell ref="O72:R72"/>
    <mergeCell ref="B74:H74"/>
    <mergeCell ref="B97:H99"/>
    <mergeCell ref="I97:I99"/>
    <mergeCell ref="J97:R97"/>
    <mergeCell ref="J98:J99"/>
    <mergeCell ref="K98:N98"/>
    <mergeCell ref="O98:R98"/>
    <mergeCell ref="S121:U121"/>
    <mergeCell ref="V121:Y121"/>
    <mergeCell ref="B100:H100"/>
    <mergeCell ref="B120:H122"/>
    <mergeCell ref="I120:I122"/>
    <mergeCell ref="J120:R120"/>
    <mergeCell ref="J121:J122"/>
    <mergeCell ref="K121:N121"/>
    <mergeCell ref="O121:R121"/>
    <mergeCell ref="O149:R149"/>
    <mergeCell ref="S149:U149"/>
    <mergeCell ref="B123:H123"/>
    <mergeCell ref="I148:I150"/>
    <mergeCell ref="J148:R148"/>
    <mergeCell ref="S148:Y148"/>
    <mergeCell ref="J149:J150"/>
    <mergeCell ref="K149:N149"/>
    <mergeCell ref="V149:Y149"/>
    <mergeCell ref="B3:H5"/>
    <mergeCell ref="I3:I5"/>
    <mergeCell ref="J3:R3"/>
    <mergeCell ref="S3:Y3"/>
    <mergeCell ref="J4:J5"/>
    <mergeCell ref="K4:N4"/>
    <mergeCell ref="O4:R4"/>
    <mergeCell ref="B6:H6"/>
    <mergeCell ref="B16:H18"/>
    <mergeCell ref="I16:I18"/>
    <mergeCell ref="J16:R16"/>
    <mergeCell ref="J17:J18"/>
    <mergeCell ref="K17:N17"/>
    <mergeCell ref="O17:R17"/>
    <mergeCell ref="B19:H19"/>
    <mergeCell ref="B30:H32"/>
    <mergeCell ref="I30:I32"/>
    <mergeCell ref="J30:R30"/>
    <mergeCell ref="J31:J32"/>
    <mergeCell ref="K31:N31"/>
    <mergeCell ref="O31:R31"/>
    <mergeCell ref="B33:H33"/>
    <mergeCell ref="B44:H46"/>
    <mergeCell ref="I44:I46"/>
    <mergeCell ref="J44:R44"/>
    <mergeCell ref="J45:J46"/>
    <mergeCell ref="K45:N45"/>
    <mergeCell ref="O45:R45"/>
    <mergeCell ref="B47:H47"/>
    <mergeCell ref="B55:H57"/>
    <mergeCell ref="I55:I57"/>
    <mergeCell ref="J55:R55"/>
    <mergeCell ref="J56:J57"/>
    <mergeCell ref="K56:N56"/>
    <mergeCell ref="O56:R56"/>
    <mergeCell ref="S71:Y71"/>
    <mergeCell ref="S72:U72"/>
    <mergeCell ref="V72:Y72"/>
    <mergeCell ref="S97:Y97"/>
    <mergeCell ref="S98:U98"/>
    <mergeCell ref="V98:Y98"/>
    <mergeCell ref="S120:Y120"/>
    <mergeCell ref="S185:U185"/>
    <mergeCell ref="V185:Y185"/>
    <mergeCell ref="O323:R323"/>
    <mergeCell ref="J360:R360"/>
    <mergeCell ref="J287:R287"/>
    <mergeCell ref="J288:J289"/>
    <mergeCell ref="K288:N288"/>
    <mergeCell ref="O288:R288"/>
    <mergeCell ref="J322:R322"/>
    <mergeCell ref="J323:J324"/>
    <mergeCell ref="K323:N323"/>
    <mergeCell ref="B398:H400"/>
    <mergeCell ref="I398:I400"/>
    <mergeCell ref="J398:R398"/>
    <mergeCell ref="S398:Y398"/>
    <mergeCell ref="J399:J400"/>
    <mergeCell ref="K399:N399"/>
    <mergeCell ref="O399:R399"/>
    <mergeCell ref="B401:H401"/>
    <mergeCell ref="B429:H431"/>
    <mergeCell ref="I429:I431"/>
    <mergeCell ref="J429:R429"/>
    <mergeCell ref="J430:J431"/>
    <mergeCell ref="K430:N430"/>
    <mergeCell ref="O430:R430"/>
    <mergeCell ref="B432:H432"/>
    <mergeCell ref="B447:H449"/>
    <mergeCell ref="I447:I449"/>
    <mergeCell ref="J447:R447"/>
    <mergeCell ref="J448:J449"/>
    <mergeCell ref="K448:N448"/>
    <mergeCell ref="O448:R448"/>
    <mergeCell ref="V448:Y448"/>
    <mergeCell ref="S461:Y461"/>
    <mergeCell ref="S462:U462"/>
    <mergeCell ref="V462:Y462"/>
    <mergeCell ref="S474:Y474"/>
    <mergeCell ref="S475:U475"/>
    <mergeCell ref="V475:Y475"/>
    <mergeCell ref="S399:U399"/>
    <mergeCell ref="V399:Y399"/>
    <mergeCell ref="S429:Y429"/>
    <mergeCell ref="S430:U430"/>
    <mergeCell ref="V430:Y430"/>
    <mergeCell ref="S447:Y447"/>
    <mergeCell ref="S448:U448"/>
    <mergeCell ref="B464:H464"/>
    <mergeCell ref="B474:H476"/>
    <mergeCell ref="I474:I476"/>
    <mergeCell ref="J474:R474"/>
    <mergeCell ref="J475:J476"/>
    <mergeCell ref="K475:N475"/>
    <mergeCell ref="O475:R475"/>
    <mergeCell ref="B477:H477"/>
    <mergeCell ref="B450:H450"/>
    <mergeCell ref="B461:H463"/>
    <mergeCell ref="I461:I463"/>
    <mergeCell ref="J461:R461"/>
    <mergeCell ref="J462:J463"/>
    <mergeCell ref="K462:N462"/>
    <mergeCell ref="O462:R462"/>
    <mergeCell ref="B148:H150"/>
    <mergeCell ref="B151:H151"/>
    <mergeCell ref="B184:H186"/>
    <mergeCell ref="I184:I186"/>
    <mergeCell ref="J184:R184"/>
    <mergeCell ref="S184:Y184"/>
    <mergeCell ref="J185:J186"/>
    <mergeCell ref="B187:H187"/>
    <mergeCell ref="K185:N185"/>
    <mergeCell ref="O185:R185"/>
    <mergeCell ref="B220:H222"/>
    <mergeCell ref="I220:I222"/>
    <mergeCell ref="J220:R220"/>
    <mergeCell ref="S220:Y220"/>
    <mergeCell ref="J221:J222"/>
    <mergeCell ref="B223:H223"/>
    <mergeCell ref="K221:N221"/>
    <mergeCell ref="O221:R221"/>
    <mergeCell ref="I255:I257"/>
    <mergeCell ref="J255:R255"/>
    <mergeCell ref="J256:J257"/>
    <mergeCell ref="K256:N256"/>
    <mergeCell ref="O256:R256"/>
    <mergeCell ref="V288:Y288"/>
    <mergeCell ref="S322:Y322"/>
    <mergeCell ref="S323:U323"/>
    <mergeCell ref="V323:Y323"/>
    <mergeCell ref="S360:Y360"/>
    <mergeCell ref="S361:U361"/>
    <mergeCell ref="V361:Y361"/>
    <mergeCell ref="S221:U221"/>
    <mergeCell ref="V221:Y221"/>
    <mergeCell ref="S255:Y255"/>
    <mergeCell ref="S256:U256"/>
    <mergeCell ref="V256:Y256"/>
    <mergeCell ref="S287:Y287"/>
    <mergeCell ref="S288:U288"/>
    <mergeCell ref="B325:H325"/>
    <mergeCell ref="B360:H362"/>
    <mergeCell ref="I360:I362"/>
    <mergeCell ref="J361:J362"/>
    <mergeCell ref="K361:N361"/>
    <mergeCell ref="O361:R361"/>
    <mergeCell ref="B363:H363"/>
    <mergeCell ref="B255:H257"/>
    <mergeCell ref="B258:H258"/>
    <mergeCell ref="B287:H289"/>
    <mergeCell ref="I287:I289"/>
    <mergeCell ref="B290:H290"/>
    <mergeCell ref="B322:H324"/>
    <mergeCell ref="I322:I324"/>
  </mergeCells>
  <conditionalFormatting sqref="S21:U24 S60:U60 S102:U110 S125:U133 S466:U468 S480:U480 Y21:Y24 Y60 Y102:Y110 Y125:Y133 Y466:Y468 Y480">
    <cfRule type="cellIs" dxfId="0" priority="1" operator="lessThan">
      <formula>80</formula>
    </cfRule>
  </conditionalFormatting>
  <conditionalFormatting sqref="S21:U24 S60:U60 S102:U110 S125:U133 S466:U468 S480:U480 Y21:Y24 Y60 Y102:Y110 Y125:Y133 Y466:Y468 Y480">
    <cfRule type="cellIs" dxfId="1" priority="2" operator="between">
      <formula>80</formula>
      <formula>99.999</formula>
    </cfRule>
  </conditionalFormatting>
  <conditionalFormatting sqref="S21:U24 S60:U60 S102:U110 S125:U133 S466:U468 S480:U480 Y21:Y24 Y60 Y102:Y110 Y125:Y133 Y466:Y468 Y480">
    <cfRule type="cellIs" dxfId="2" priority="3" operator="greaterThanOrEqual">
      <formula>100</formula>
    </cfRule>
  </conditionalFormatting>
  <conditionalFormatting sqref="S142:U142 Y142">
    <cfRule type="cellIs" dxfId="0" priority="4" operator="lessThan">
      <formula>80</formula>
    </cfRule>
  </conditionalFormatting>
  <conditionalFormatting sqref="S142:U142 Y142">
    <cfRule type="cellIs" dxfId="1" priority="5" operator="between">
      <formula>80</formula>
      <formula>99.999</formula>
    </cfRule>
  </conditionalFormatting>
  <conditionalFormatting sqref="S142:U142 Y142">
    <cfRule type="cellIs" dxfId="2" priority="6" operator="greaterThanOrEqual">
      <formula>100</formula>
    </cfRule>
  </conditionalFormatting>
  <conditionalFormatting sqref="S76:U85 Y76:Y85">
    <cfRule type="cellIs" dxfId="0" priority="7" operator="lessThan">
      <formula>80</formula>
    </cfRule>
  </conditionalFormatting>
  <conditionalFormatting sqref="S76:U85 Y76:Y85">
    <cfRule type="cellIs" dxfId="1" priority="8" operator="between">
      <formula>80</formula>
      <formula>99.999</formula>
    </cfRule>
  </conditionalFormatting>
  <conditionalFormatting sqref="S76:U85 Y76:Y85">
    <cfRule type="cellIs" dxfId="2" priority="9" operator="greaterThanOrEqual">
      <formula>100</formula>
    </cfRule>
  </conditionalFormatting>
  <conditionalFormatting sqref="S91:U91 Y91">
    <cfRule type="cellIs" dxfId="0" priority="10" operator="lessThan">
      <formula>80</formula>
    </cfRule>
  </conditionalFormatting>
  <conditionalFormatting sqref="S91:U91 Y91">
    <cfRule type="cellIs" dxfId="1" priority="11" operator="between">
      <formula>80</formula>
      <formula>99.999</formula>
    </cfRule>
  </conditionalFormatting>
  <conditionalFormatting sqref="S91:U91 Y91">
    <cfRule type="cellIs" dxfId="2" priority="12" operator="greaterThanOrEqual">
      <formula>100</formula>
    </cfRule>
  </conditionalFormatting>
  <conditionalFormatting sqref="S114:U114 Y114">
    <cfRule type="cellIs" dxfId="0" priority="13" operator="lessThan">
      <formula>80</formula>
    </cfRule>
  </conditionalFormatting>
  <conditionalFormatting sqref="S114:U114 Y114">
    <cfRule type="cellIs" dxfId="1" priority="14" operator="between">
      <formula>80</formula>
      <formula>99.999</formula>
    </cfRule>
  </conditionalFormatting>
  <conditionalFormatting sqref="S114:U114 Y114">
    <cfRule type="cellIs" dxfId="2" priority="15" operator="greaterThanOrEqual">
      <formula>100</formula>
    </cfRule>
  </conditionalFormatting>
  <conditionalFormatting sqref="S8:U10 Y8:Y10">
    <cfRule type="cellIs" dxfId="0" priority="16" operator="lessThan">
      <formula>80</formula>
    </cfRule>
  </conditionalFormatting>
  <conditionalFormatting sqref="S8:U10 Y8:Y10">
    <cfRule type="cellIs" dxfId="1" priority="17" operator="between">
      <formula>80</formula>
      <formula>99.999</formula>
    </cfRule>
  </conditionalFormatting>
  <conditionalFormatting sqref="S8:U10 Y8:Y10">
    <cfRule type="cellIs" dxfId="2" priority="18" operator="greaterThanOrEqual">
      <formula>100</formula>
    </cfRule>
  </conditionalFormatting>
  <conditionalFormatting sqref="S35:U38 Y35:Y38">
    <cfRule type="cellIs" dxfId="0" priority="19" operator="lessThan">
      <formula>80</formula>
    </cfRule>
  </conditionalFormatting>
  <conditionalFormatting sqref="S35:U38 Y35:Y38">
    <cfRule type="cellIs" dxfId="1" priority="20" operator="between">
      <formula>80</formula>
      <formula>99.999</formula>
    </cfRule>
  </conditionalFormatting>
  <conditionalFormatting sqref="S35:U38 Y35:Y38">
    <cfRule type="cellIs" dxfId="2" priority="21" operator="greaterThanOrEqual">
      <formula>100</formula>
    </cfRule>
  </conditionalFormatting>
  <conditionalFormatting sqref="S49:U50 Y49:Y50">
    <cfRule type="cellIs" dxfId="0" priority="22" operator="lessThan">
      <formula>80</formula>
    </cfRule>
  </conditionalFormatting>
  <conditionalFormatting sqref="S49:U50 Y49:Y50">
    <cfRule type="cellIs" dxfId="1" priority="23" operator="between">
      <formula>80</formula>
      <formula>99.999</formula>
    </cfRule>
  </conditionalFormatting>
  <conditionalFormatting sqref="S49:U50 Y49:Y50">
    <cfRule type="cellIs" dxfId="2" priority="24" operator="greaterThanOrEqual">
      <formula>100</formula>
    </cfRule>
  </conditionalFormatting>
  <conditionalFormatting sqref="S153:U161 Y153:Y161">
    <cfRule type="cellIs" dxfId="0" priority="25" operator="lessThan">
      <formula>80</formula>
    </cfRule>
  </conditionalFormatting>
  <conditionalFormatting sqref="S153:U161 Y153:Y161">
    <cfRule type="cellIs" dxfId="1" priority="26" operator="between">
      <formula>80</formula>
      <formula>99.999</formula>
    </cfRule>
  </conditionalFormatting>
  <conditionalFormatting sqref="S153:U161 Y153:Y161">
    <cfRule type="cellIs" dxfId="2" priority="27" operator="greaterThanOrEqual">
      <formula>100</formula>
    </cfRule>
  </conditionalFormatting>
  <conditionalFormatting sqref="S178:U178 Y178">
    <cfRule type="cellIs" dxfId="0" priority="28" operator="lessThan">
      <formula>80</formula>
    </cfRule>
  </conditionalFormatting>
  <conditionalFormatting sqref="S178:U178 Y178">
    <cfRule type="cellIs" dxfId="1" priority="29" operator="between">
      <formula>80</formula>
      <formula>99.999</formula>
    </cfRule>
  </conditionalFormatting>
  <conditionalFormatting sqref="S178:U178 Y178">
    <cfRule type="cellIs" dxfId="2" priority="30" operator="greaterThanOrEqual">
      <formula>100</formula>
    </cfRule>
  </conditionalFormatting>
  <conditionalFormatting sqref="S189:U197 Y189:Y197">
    <cfRule type="cellIs" dxfId="0" priority="31" operator="lessThan">
      <formula>80</formula>
    </cfRule>
  </conditionalFormatting>
  <conditionalFormatting sqref="S189:U197 Y189:Y197">
    <cfRule type="cellIs" dxfId="1" priority="32" operator="between">
      <formula>80</formula>
      <formula>99.999</formula>
    </cfRule>
  </conditionalFormatting>
  <conditionalFormatting sqref="S189:U197 Y189:Y197">
    <cfRule type="cellIs" dxfId="2" priority="33" operator="greaterThanOrEqual">
      <formula>100</formula>
    </cfRule>
  </conditionalFormatting>
  <conditionalFormatting sqref="S214:U214 Y214">
    <cfRule type="cellIs" dxfId="0" priority="34" operator="lessThan">
      <formula>80</formula>
    </cfRule>
  </conditionalFormatting>
  <conditionalFormatting sqref="S214:U214 Y214">
    <cfRule type="cellIs" dxfId="1" priority="35" operator="between">
      <formula>80</formula>
      <formula>99.999</formula>
    </cfRule>
  </conditionalFormatting>
  <conditionalFormatting sqref="S214:U214 Y214">
    <cfRule type="cellIs" dxfId="2" priority="36" operator="greaterThanOrEqual">
      <formula>100</formula>
    </cfRule>
  </conditionalFormatting>
  <conditionalFormatting sqref="S225:U233 T249 Y225:Y233">
    <cfRule type="cellIs" dxfId="0" priority="37" operator="lessThan">
      <formula>80</formula>
    </cfRule>
  </conditionalFormatting>
  <conditionalFormatting sqref="S225:U233 T249 Y225:Y233">
    <cfRule type="cellIs" dxfId="1" priority="38" operator="between">
      <formula>80</formula>
      <formula>99.999</formula>
    </cfRule>
  </conditionalFormatting>
  <conditionalFormatting sqref="S225:U233 T249 Y225:Y233">
    <cfRule type="cellIs" dxfId="2" priority="39" operator="greaterThanOrEqual">
      <formula>100</formula>
    </cfRule>
  </conditionalFormatting>
  <conditionalFormatting sqref="S249:U249 Y249">
    <cfRule type="cellIs" dxfId="0" priority="40" operator="lessThan">
      <formula>80</formula>
    </cfRule>
  </conditionalFormatting>
  <conditionalFormatting sqref="S249:U249 Y249">
    <cfRule type="cellIs" dxfId="1" priority="41" operator="between">
      <formula>80</formula>
      <formula>99.999</formula>
    </cfRule>
  </conditionalFormatting>
  <conditionalFormatting sqref="S249:U249 Y249">
    <cfRule type="cellIs" dxfId="2" priority="42" operator="greaterThanOrEqual">
      <formula>100</formula>
    </cfRule>
  </conditionalFormatting>
  <conditionalFormatting sqref="S260:S280 T260:T281 U260:U280 Y260:Y268">
    <cfRule type="cellIs" dxfId="0" priority="43" operator="lessThan">
      <formula>80</formula>
    </cfRule>
  </conditionalFormatting>
  <conditionalFormatting sqref="S260:S280 T260:T281 U260:U280 Y260:Y268">
    <cfRule type="cellIs" dxfId="1" priority="44" operator="between">
      <formula>80</formula>
      <formula>99.999</formula>
    </cfRule>
  </conditionalFormatting>
  <conditionalFormatting sqref="S260:S280 T260:T281 U260:U280 Y260:Y268">
    <cfRule type="cellIs" dxfId="2" priority="45" operator="greaterThanOrEqual">
      <formula>100</formula>
    </cfRule>
  </conditionalFormatting>
  <conditionalFormatting sqref="S281:U281 Y281">
    <cfRule type="cellIs" dxfId="0" priority="46" operator="lessThan">
      <formula>80</formula>
    </cfRule>
  </conditionalFormatting>
  <conditionalFormatting sqref="S281:U281 Y281">
    <cfRule type="cellIs" dxfId="1" priority="47" operator="between">
      <formula>80</formula>
      <formula>99.999</formula>
    </cfRule>
  </conditionalFormatting>
  <conditionalFormatting sqref="S281:U281 Y281">
    <cfRule type="cellIs" dxfId="2" priority="48" operator="greaterThanOrEqual">
      <formula>100</formula>
    </cfRule>
  </conditionalFormatting>
  <conditionalFormatting sqref="S292:U300 Y292:Y300">
    <cfRule type="cellIs" dxfId="0" priority="49" operator="lessThan">
      <formula>80</formula>
    </cfRule>
  </conditionalFormatting>
  <conditionalFormatting sqref="S292:U300 Y292:Y300">
    <cfRule type="cellIs" dxfId="1" priority="50" operator="between">
      <formula>80</formula>
      <formula>99.999</formula>
    </cfRule>
  </conditionalFormatting>
  <conditionalFormatting sqref="S292:U300 Y292:Y300">
    <cfRule type="cellIs" dxfId="2" priority="51" operator="greaterThanOrEqual">
      <formula>100</formula>
    </cfRule>
  </conditionalFormatting>
  <conditionalFormatting sqref="S316:U316 Y316">
    <cfRule type="cellIs" dxfId="0" priority="52" operator="lessThan">
      <formula>80</formula>
    </cfRule>
  </conditionalFormatting>
  <conditionalFormatting sqref="S316:U316 Y316">
    <cfRule type="cellIs" dxfId="1" priority="53" operator="between">
      <formula>80</formula>
      <formula>99.999</formula>
    </cfRule>
  </conditionalFormatting>
  <conditionalFormatting sqref="S316:U316 Y316">
    <cfRule type="cellIs" dxfId="2" priority="54" operator="greaterThanOrEqual">
      <formula>100</formula>
    </cfRule>
  </conditionalFormatting>
  <conditionalFormatting sqref="S327:U335 Y327:Y335">
    <cfRule type="cellIs" dxfId="0" priority="55" operator="lessThan">
      <formula>80</formula>
    </cfRule>
  </conditionalFormatting>
  <conditionalFormatting sqref="S327:U335 Y327:Y335">
    <cfRule type="cellIs" dxfId="1" priority="56" operator="between">
      <formula>80</formula>
      <formula>99.999</formula>
    </cfRule>
  </conditionalFormatting>
  <conditionalFormatting sqref="S327:U335 Y327:Y335">
    <cfRule type="cellIs" dxfId="2" priority="57" operator="greaterThanOrEqual">
      <formula>100</formula>
    </cfRule>
  </conditionalFormatting>
  <conditionalFormatting sqref="S354:U354 Y354">
    <cfRule type="cellIs" dxfId="0" priority="58" operator="lessThan">
      <formula>80</formula>
    </cfRule>
  </conditionalFormatting>
  <conditionalFormatting sqref="S354:U354 Y354">
    <cfRule type="cellIs" dxfId="1" priority="59" operator="between">
      <formula>80</formula>
      <formula>99.999</formula>
    </cfRule>
  </conditionalFormatting>
  <conditionalFormatting sqref="S354:U354 Y354">
    <cfRule type="cellIs" dxfId="2" priority="60" operator="greaterThanOrEqual">
      <formula>100</formula>
    </cfRule>
  </conditionalFormatting>
  <conditionalFormatting sqref="S365:U373 Y365:Y373">
    <cfRule type="cellIs" dxfId="0" priority="61" operator="lessThan">
      <formula>80</formula>
    </cfRule>
  </conditionalFormatting>
  <conditionalFormatting sqref="S365:U373 Y365:Y373">
    <cfRule type="cellIs" dxfId="1" priority="62" operator="between">
      <formula>80</formula>
      <formula>99.999</formula>
    </cfRule>
  </conditionalFormatting>
  <conditionalFormatting sqref="S365:U373 Y365:Y373">
    <cfRule type="cellIs" dxfId="2" priority="63" operator="greaterThanOrEqual">
      <formula>100</formula>
    </cfRule>
  </conditionalFormatting>
  <conditionalFormatting sqref="S392:U392 Y392">
    <cfRule type="cellIs" dxfId="0" priority="64" operator="lessThan">
      <formula>80</formula>
    </cfRule>
  </conditionalFormatting>
  <conditionalFormatting sqref="S392:U392 Y392">
    <cfRule type="cellIs" dxfId="1" priority="65" operator="between">
      <formula>80</formula>
      <formula>99.999</formula>
    </cfRule>
  </conditionalFormatting>
  <conditionalFormatting sqref="S392:U392 Y392">
    <cfRule type="cellIs" dxfId="2" priority="66" operator="greaterThanOrEqual">
      <formula>100</formula>
    </cfRule>
  </conditionalFormatting>
  <conditionalFormatting sqref="S403:U411 Y403:Y411">
    <cfRule type="cellIs" dxfId="0" priority="67" operator="lessThan">
      <formula>80</formula>
    </cfRule>
  </conditionalFormatting>
  <conditionalFormatting sqref="S403:U411 Y403:Y411">
    <cfRule type="cellIs" dxfId="1" priority="68" operator="between">
      <formula>80</formula>
      <formula>99.999</formula>
    </cfRule>
  </conditionalFormatting>
  <conditionalFormatting sqref="S403:U411 Y403:Y411">
    <cfRule type="cellIs" dxfId="2" priority="69" operator="greaterThanOrEqual">
      <formula>100</formula>
    </cfRule>
  </conditionalFormatting>
  <conditionalFormatting sqref="S423:U423 Y423">
    <cfRule type="cellIs" dxfId="0" priority="70" operator="lessThan">
      <formula>80</formula>
    </cfRule>
  </conditionalFormatting>
  <conditionalFormatting sqref="S423:U423 Y423">
    <cfRule type="cellIs" dxfId="1" priority="71" operator="between">
      <formula>80</formula>
      <formula>99.999</formula>
    </cfRule>
  </conditionalFormatting>
  <conditionalFormatting sqref="S423:U423 Y423">
    <cfRule type="cellIs" dxfId="2" priority="72" operator="greaterThanOrEqual">
      <formula>100</formula>
    </cfRule>
  </conditionalFormatting>
  <conditionalFormatting sqref="S434:U441 Y434:Y441">
    <cfRule type="cellIs" dxfId="0" priority="73" operator="lessThan">
      <formula>80</formula>
    </cfRule>
  </conditionalFormatting>
  <conditionalFormatting sqref="S434:U441 Y434:Y441">
    <cfRule type="cellIs" dxfId="1" priority="74" operator="between">
      <formula>80</formula>
      <formula>99.999</formula>
    </cfRule>
  </conditionalFormatting>
  <conditionalFormatting sqref="S434:U441 Y434:Y441">
    <cfRule type="cellIs" dxfId="2" priority="75" operator="greaterThanOrEqual">
      <formula>100</formula>
    </cfRule>
  </conditionalFormatting>
  <conditionalFormatting sqref="S452:U455 Y452:Y455">
    <cfRule type="cellIs" dxfId="0" priority="76" operator="lessThan">
      <formula>80</formula>
    </cfRule>
  </conditionalFormatting>
  <conditionalFormatting sqref="S452:U455 Y452:Y455">
    <cfRule type="cellIs" dxfId="1" priority="77" operator="between">
      <formula>80</formula>
      <formula>99.999</formula>
    </cfRule>
  </conditionalFormatting>
  <conditionalFormatting sqref="S452:U455 Y452:Y455">
    <cfRule type="cellIs" dxfId="2" priority="78" operator="greaterThanOrEqual">
      <formula>100</formula>
    </cfRule>
  </conditionalFormatting>
  <conditionalFormatting sqref="S482:U487 Y482:Y487">
    <cfRule type="cellIs" dxfId="0" priority="79" operator="lessThan">
      <formula>80</formula>
    </cfRule>
  </conditionalFormatting>
  <conditionalFormatting sqref="S482:U487 Y482:Y487">
    <cfRule type="cellIs" dxfId="1" priority="80" operator="between">
      <formula>80</formula>
      <formula>99.999</formula>
    </cfRule>
  </conditionalFormatting>
  <conditionalFormatting sqref="S482:U487 Y482:Y487">
    <cfRule type="cellIs" dxfId="2" priority="81" operator="greaterThanOrEqual">
      <formula>100</formula>
    </cfRule>
  </conditionalFormatting>
  <conditionalFormatting sqref="S479:U479 Y479">
    <cfRule type="cellIs" dxfId="0" priority="82" operator="lessThan">
      <formula>80</formula>
    </cfRule>
  </conditionalFormatting>
  <conditionalFormatting sqref="S479:U479 Y479">
    <cfRule type="cellIs" dxfId="1" priority="83" operator="between">
      <formula>80</formula>
      <formula>99.999</formula>
    </cfRule>
  </conditionalFormatting>
  <conditionalFormatting sqref="S479:U479 Y479">
    <cfRule type="cellIs" dxfId="2" priority="84" operator="greaterThanOrEqual">
      <formula>100</formula>
    </cfRule>
  </conditionalFormatting>
  <conditionalFormatting sqref="S481:U481 Y481">
    <cfRule type="cellIs" dxfId="0" priority="85" operator="lessThan">
      <formula>80</formula>
    </cfRule>
  </conditionalFormatting>
  <conditionalFormatting sqref="S481:U481 Y481">
    <cfRule type="cellIs" dxfId="1" priority="86" operator="between">
      <formula>80</formula>
      <formula>99.999</formula>
    </cfRule>
  </conditionalFormatting>
  <conditionalFormatting sqref="S481:U481 Y481">
    <cfRule type="cellIs" dxfId="2" priority="87" operator="greaterThanOrEqual">
      <formula>100</formula>
    </cfRule>
  </conditionalFormatting>
  <conditionalFormatting sqref="Q179">
    <cfRule type="notContainsBlanks" dxfId="3" priority="88">
      <formula>LEN(TRIM(Q179))&gt;0</formula>
    </cfRule>
  </conditionalFormatting>
  <printOptions/>
  <pageMargins bottom="0.75" footer="0.0" header="0.0" left="0.7" right="0.7" top="0.75"/>
  <pageSetup paperSize="9" orientation="portrait"/>
  <drawing r:id="rId2"/>
  <legacyDrawing r:id="rId3"/>
  <tableParts count="1">
    <tablePart r:id="rId5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0.0" ySplit="23.0" topLeftCell="K24" activePane="bottomRight" state="frozen"/>
      <selection activeCell="K1" sqref="K1" pane="topRight"/>
      <selection activeCell="A24" sqref="A24" pane="bottomLeft"/>
      <selection activeCell="K24" sqref="K24" pane="bottomRight"/>
    </sheetView>
  </sheetViews>
  <sheetFormatPr customHeight="1" defaultColWidth="12.63" defaultRowHeight="15.0"/>
  <cols>
    <col customWidth="1" min="1" max="1" width="1.0"/>
    <col customWidth="1" min="2" max="2" width="3.63"/>
    <col customWidth="1" min="3" max="5" width="5.0"/>
    <col customWidth="1" min="6" max="6" width="1.75"/>
    <col customWidth="1" min="7" max="7" width="11.0"/>
    <col customWidth="1" min="8" max="8" width="19.63"/>
    <col customWidth="1" min="9" max="9" width="7.5"/>
    <col customWidth="1" min="10" max="10" width="18.63"/>
    <col customWidth="1" min="11" max="27" width="7.63"/>
  </cols>
  <sheetData>
    <row r="1" ht="4.5" customHeight="1">
      <c r="A1" s="1"/>
    </row>
    <row r="2" ht="14.25" customHeight="1">
      <c r="A2" s="1"/>
      <c r="B2" s="4" t="s">
        <v>468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</row>
    <row r="3" ht="14.25" hidden="1" customHeight="1">
      <c r="A3" s="1"/>
    </row>
    <row r="4" ht="14.25" hidden="1" customHeight="1">
      <c r="A4" s="1"/>
    </row>
    <row r="5" ht="14.25" hidden="1" customHeight="1">
      <c r="A5" s="1"/>
    </row>
    <row r="6" ht="14.25" hidden="1" customHeight="1">
      <c r="A6" s="1"/>
    </row>
    <row r="7" ht="14.25" hidden="1" customHeight="1">
      <c r="A7" s="1"/>
    </row>
    <row r="8" ht="14.25" hidden="1" customHeight="1">
      <c r="A8" s="1"/>
    </row>
    <row r="9" ht="14.25" hidden="1" customHeight="1">
      <c r="A9" s="1"/>
    </row>
    <row r="10" ht="14.25" hidden="1" customHeight="1">
      <c r="A10" s="1"/>
    </row>
    <row r="11" ht="14.25" hidden="1" customHeight="1">
      <c r="A11" s="1"/>
    </row>
    <row r="12" ht="14.25" hidden="1" customHeight="1">
      <c r="A12" s="1"/>
    </row>
    <row r="13" ht="14.25" hidden="1" customHeight="1">
      <c r="A13" s="1"/>
    </row>
    <row r="14" ht="14.25" hidden="1" customHeight="1">
      <c r="A14" s="1"/>
    </row>
    <row r="15" ht="14.25" hidden="1" customHeight="1">
      <c r="A15" s="1"/>
    </row>
    <row r="16" ht="14.25" hidden="1" customHeight="1">
      <c r="A16" s="1"/>
    </row>
    <row r="17" ht="14.25" hidden="1" customHeight="1">
      <c r="A17" s="1"/>
    </row>
    <row r="18" ht="14.25" hidden="1" customHeight="1">
      <c r="A18" s="1"/>
    </row>
    <row r="19" ht="14.25" customHeight="1">
      <c r="A19" s="1"/>
      <c r="B19" s="4" t="s">
        <v>469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6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</row>
    <row r="20" ht="14.25" customHeight="1">
      <c r="A20" s="1"/>
      <c r="B20" s="7" t="s">
        <v>2</v>
      </c>
      <c r="C20" s="8"/>
      <c r="D20" s="8"/>
      <c r="E20" s="8"/>
      <c r="F20" s="8"/>
      <c r="G20" s="8"/>
      <c r="H20" s="8"/>
      <c r="I20" s="9"/>
      <c r="J20" s="10" t="s">
        <v>3</v>
      </c>
      <c r="K20" s="11"/>
      <c r="L20" s="11"/>
      <c r="M20" s="11"/>
      <c r="N20" s="11"/>
      <c r="O20" s="11"/>
      <c r="P20" s="11"/>
      <c r="Q20" s="11"/>
      <c r="R20" s="12"/>
      <c r="S20" s="10" t="s">
        <v>4</v>
      </c>
      <c r="T20" s="11"/>
      <c r="U20" s="11"/>
      <c r="V20" s="11"/>
      <c r="W20" s="11"/>
      <c r="X20" s="11"/>
      <c r="Y20" s="12"/>
    </row>
    <row r="21" ht="15.0" customHeight="1">
      <c r="A21" s="1"/>
      <c r="B21" s="13"/>
      <c r="I21" s="14"/>
      <c r="J21" s="15" t="s">
        <v>5</v>
      </c>
      <c r="K21" s="16" t="s">
        <v>6</v>
      </c>
      <c r="L21" s="17"/>
      <c r="M21" s="17"/>
      <c r="N21" s="18"/>
      <c r="O21" s="16" t="s">
        <v>7</v>
      </c>
      <c r="P21" s="17"/>
      <c r="Q21" s="17"/>
      <c r="R21" s="18"/>
      <c r="S21" s="16" t="s">
        <v>8</v>
      </c>
      <c r="T21" s="17"/>
      <c r="U21" s="18"/>
      <c r="V21" s="16" t="s">
        <v>9</v>
      </c>
      <c r="W21" s="17"/>
      <c r="X21" s="17"/>
      <c r="Y21" s="18"/>
    </row>
    <row r="22" ht="14.25" customHeight="1">
      <c r="A22" s="1"/>
      <c r="B22" s="19"/>
      <c r="C22" s="20"/>
      <c r="D22" s="20"/>
      <c r="E22" s="20"/>
      <c r="F22" s="20"/>
      <c r="G22" s="20"/>
      <c r="H22" s="20"/>
      <c r="I22" s="21"/>
      <c r="J22" s="22"/>
      <c r="K22" s="23" t="s">
        <v>10</v>
      </c>
      <c r="L22" s="23" t="s">
        <v>11</v>
      </c>
      <c r="M22" s="23" t="s">
        <v>12</v>
      </c>
      <c r="N22" s="23" t="s">
        <v>13</v>
      </c>
      <c r="O22" s="23" t="s">
        <v>10</v>
      </c>
      <c r="P22" s="23" t="s">
        <v>11</v>
      </c>
      <c r="Q22" s="23" t="s">
        <v>12</v>
      </c>
      <c r="R22" s="23" t="s">
        <v>13</v>
      </c>
      <c r="S22" s="23" t="s">
        <v>10</v>
      </c>
      <c r="T22" s="23" t="s">
        <v>11</v>
      </c>
      <c r="U22" s="23" t="s">
        <v>12</v>
      </c>
      <c r="V22" s="23" t="s">
        <v>10</v>
      </c>
      <c r="W22" s="23" t="s">
        <v>11</v>
      </c>
      <c r="X22" s="23" t="s">
        <v>12</v>
      </c>
      <c r="Y22" s="24" t="s">
        <v>13</v>
      </c>
      <c r="Z22" s="25"/>
    </row>
    <row r="23" ht="14.25" customHeight="1">
      <c r="A23" s="1"/>
      <c r="B23" s="26">
        <v>-1.0</v>
      </c>
      <c r="C23" s="27"/>
      <c r="D23" s="27"/>
      <c r="E23" s="27"/>
      <c r="F23" s="27"/>
      <c r="G23" s="27"/>
      <c r="H23" s="27"/>
      <c r="I23" s="28"/>
      <c r="J23" s="29" t="s">
        <v>14</v>
      </c>
      <c r="K23" s="30" t="s">
        <v>15</v>
      </c>
      <c r="L23" s="30" t="s">
        <v>16</v>
      </c>
      <c r="M23" s="30" t="s">
        <v>17</v>
      </c>
      <c r="N23" s="30" t="s">
        <v>18</v>
      </c>
      <c r="O23" s="30" t="s">
        <v>19</v>
      </c>
      <c r="P23" s="30" t="s">
        <v>20</v>
      </c>
      <c r="Q23" s="30" t="s">
        <v>21</v>
      </c>
      <c r="R23" s="30" t="s">
        <v>22</v>
      </c>
      <c r="S23" s="30" t="s">
        <v>23</v>
      </c>
      <c r="T23" s="30" t="s">
        <v>24</v>
      </c>
      <c r="U23" s="30" t="s">
        <v>25</v>
      </c>
      <c r="V23" s="30" t="s">
        <v>26</v>
      </c>
      <c r="W23" s="30" t="s">
        <v>27</v>
      </c>
      <c r="X23" s="30" t="s">
        <v>28</v>
      </c>
      <c r="Y23" s="31" t="s">
        <v>29</v>
      </c>
      <c r="Z23" s="25"/>
    </row>
    <row r="24" ht="14.25" customHeight="1">
      <c r="A24" s="1"/>
      <c r="B24" s="32"/>
      <c r="C24" s="33"/>
      <c r="D24" s="33"/>
      <c r="E24" s="33"/>
      <c r="F24" s="34"/>
      <c r="G24" s="35"/>
      <c r="H24" s="35"/>
      <c r="I24" s="35"/>
      <c r="J24" s="35"/>
      <c r="K24" s="35"/>
      <c r="L24" s="35"/>
      <c r="M24" s="35"/>
      <c r="N24" s="36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</row>
    <row r="25" ht="14.25" customHeight="1">
      <c r="A25" s="1"/>
      <c r="B25" s="37" t="s">
        <v>30</v>
      </c>
      <c r="C25" s="38" t="s">
        <v>31</v>
      </c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</row>
    <row r="26" ht="14.25" customHeight="1">
      <c r="A26" s="1"/>
      <c r="B26" s="37"/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</row>
    <row r="27" ht="14.25" customHeight="1">
      <c r="A27" s="1"/>
      <c r="B27" s="37" t="s">
        <v>32</v>
      </c>
      <c r="C27" s="38" t="s">
        <v>33</v>
      </c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40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</row>
    <row r="28" ht="14.25" customHeight="1">
      <c r="A28" s="1"/>
      <c r="B28" s="37"/>
      <c r="C28" s="39" t="s">
        <v>34</v>
      </c>
      <c r="D28" s="39"/>
      <c r="E28" s="39"/>
      <c r="F28" s="41"/>
      <c r="G28" s="39"/>
      <c r="H28" s="39"/>
      <c r="I28" s="39"/>
      <c r="J28" s="39" t="s">
        <v>35</v>
      </c>
      <c r="K28" s="42"/>
      <c r="L28" s="42"/>
      <c r="M28" s="43"/>
      <c r="N28" s="44"/>
      <c r="O28" s="45"/>
      <c r="P28" s="42"/>
      <c r="Q28" s="42"/>
      <c r="R28" s="42"/>
      <c r="S28" s="46">
        <f t="shared" ref="S28:U28" si="1">IF(K28=0,0,IF((O28/K28*100)&gt;120,120,O28/K28*100))</f>
        <v>0</v>
      </c>
      <c r="T28" s="46">
        <f t="shared" si="1"/>
        <v>0</v>
      </c>
      <c r="U28" s="46">
        <f t="shared" si="1"/>
        <v>0</v>
      </c>
      <c r="V28" s="46">
        <f t="shared" ref="V28:Y28" si="2">IF($N28=0,0,IF((O28/$N28*100)&gt;120,120,O28/$N28*100))</f>
        <v>0</v>
      </c>
      <c r="W28" s="46">
        <f t="shared" si="2"/>
        <v>0</v>
      </c>
      <c r="X28" s="46">
        <f t="shared" si="2"/>
        <v>0</v>
      </c>
      <c r="Y28" s="46">
        <f t="shared" si="2"/>
        <v>0</v>
      </c>
      <c r="AA28" s="5" t="s">
        <v>36</v>
      </c>
    </row>
    <row r="29" ht="14.25" customHeight="1">
      <c r="A29" s="1"/>
      <c r="B29" s="37"/>
      <c r="C29" s="39" t="s">
        <v>37</v>
      </c>
      <c r="D29" s="39"/>
      <c r="E29" s="39"/>
      <c r="F29" s="41"/>
      <c r="G29" s="39"/>
      <c r="H29" s="39"/>
      <c r="I29" s="39"/>
      <c r="J29" s="39" t="s">
        <v>35</v>
      </c>
      <c r="K29" s="39">
        <f t="shared" ref="K29:R29" si="3">IFERROR(SUM(K158,K135,K112,K89)/SUM(K153,K130,K107,K83)*100,0)</f>
        <v>100</v>
      </c>
      <c r="L29" s="39">
        <f t="shared" si="3"/>
        <v>85</v>
      </c>
      <c r="M29" s="60">
        <f t="shared" si="3"/>
        <v>90</v>
      </c>
      <c r="N29" s="373">
        <f t="shared" si="3"/>
        <v>78.72340426</v>
      </c>
      <c r="O29" s="62">
        <f t="shared" si="3"/>
        <v>100</v>
      </c>
      <c r="P29" s="39">
        <f t="shared" si="3"/>
        <v>0</v>
      </c>
      <c r="Q29" s="39">
        <f t="shared" si="3"/>
        <v>0</v>
      </c>
      <c r="R29" s="39">
        <f t="shared" si="3"/>
        <v>0</v>
      </c>
      <c r="S29" s="46">
        <f t="shared" ref="S29:U29" si="4">IF(K29=0,0,IF((O29/K29*100)&gt;120,120,O29/K29*100))</f>
        <v>100</v>
      </c>
      <c r="T29" s="46">
        <f t="shared" si="4"/>
        <v>0</v>
      </c>
      <c r="U29" s="46">
        <f t="shared" si="4"/>
        <v>0</v>
      </c>
      <c r="V29" s="46">
        <f t="shared" ref="V29:Y29" si="5">IF($N29=0,0,IF((O29/$N29*100)&gt;120,120,O29/$N29*100))</f>
        <v>120</v>
      </c>
      <c r="W29" s="46">
        <f t="shared" si="5"/>
        <v>0</v>
      </c>
      <c r="X29" s="46">
        <f t="shared" si="5"/>
        <v>0</v>
      </c>
      <c r="Y29" s="46">
        <f t="shared" si="5"/>
        <v>0</v>
      </c>
      <c r="AA29" s="5" t="s">
        <v>38</v>
      </c>
    </row>
    <row r="30" ht="14.25" customHeight="1">
      <c r="A30" s="1"/>
      <c r="B30" s="51"/>
      <c r="C30" s="52"/>
      <c r="D30" s="53"/>
      <c r="E30" s="53"/>
      <c r="F30" s="53"/>
      <c r="G30" s="54" t="s">
        <v>470</v>
      </c>
      <c r="H30" s="53"/>
      <c r="I30" s="53"/>
      <c r="J30" s="53"/>
      <c r="K30" s="55"/>
      <c r="L30" s="55"/>
      <c r="M30" s="56"/>
      <c r="N30" s="57"/>
      <c r="O30" s="58"/>
      <c r="P30" s="55"/>
      <c r="Q30" s="55"/>
      <c r="R30" s="55"/>
      <c r="S30" s="59">
        <f t="shared" ref="S30:U30" si="6">IF(SUM(K28:K29)&gt;0,SUM(S28:S29)/COUNTIF(K28:K29,"&gt;0"),0)</f>
        <v>100</v>
      </c>
      <c r="T30" s="59">
        <f t="shared" si="6"/>
        <v>0</v>
      </c>
      <c r="U30" s="59">
        <f t="shared" si="6"/>
        <v>0</v>
      </c>
      <c r="V30" s="59">
        <f t="shared" ref="V30:Y30" si="7">IF(SUM($N28:$N29)&gt;0,SUM(V28:V29)/COUNTIF($N28:$N29,"&gt;0"),0)</f>
        <v>120</v>
      </c>
      <c r="W30" s="59">
        <f t="shared" si="7"/>
        <v>0</v>
      </c>
      <c r="X30" s="59">
        <f t="shared" si="7"/>
        <v>0</v>
      </c>
      <c r="Y30" s="59">
        <f t="shared" si="7"/>
        <v>0</v>
      </c>
    </row>
    <row r="31" ht="14.25" customHeight="1">
      <c r="A31" s="1"/>
      <c r="B31" s="37"/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60"/>
      <c r="N31" s="61"/>
      <c r="O31" s="62"/>
      <c r="P31" s="39"/>
      <c r="Q31" s="39"/>
      <c r="R31" s="39"/>
      <c r="S31" s="39"/>
      <c r="T31" s="39"/>
      <c r="U31" s="39"/>
      <c r="V31" s="39"/>
      <c r="W31" s="39"/>
      <c r="X31" s="39"/>
      <c r="Y31" s="39"/>
    </row>
    <row r="32" ht="14.25" customHeight="1">
      <c r="A32" s="1"/>
      <c r="B32" s="37" t="s">
        <v>40</v>
      </c>
      <c r="C32" s="38" t="s">
        <v>41</v>
      </c>
      <c r="D32" s="39"/>
      <c r="E32" s="39"/>
      <c r="F32" s="39"/>
      <c r="G32" s="39"/>
      <c r="H32" s="39"/>
      <c r="I32" s="39"/>
      <c r="J32" s="39"/>
      <c r="K32" s="63"/>
      <c r="L32" s="63"/>
      <c r="M32" s="64"/>
      <c r="N32" s="61"/>
      <c r="O32" s="65"/>
      <c r="P32" s="63"/>
      <c r="Q32" s="63"/>
      <c r="R32" s="63"/>
      <c r="S32" s="63"/>
      <c r="T32" s="63"/>
      <c r="U32" s="63"/>
      <c r="V32" s="63"/>
      <c r="W32" s="63"/>
      <c r="X32" s="63"/>
      <c r="Y32" s="63"/>
    </row>
    <row r="33" ht="14.25" customHeight="1">
      <c r="A33" s="1"/>
      <c r="B33" s="37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60"/>
      <c r="N33" s="61"/>
      <c r="O33" s="62"/>
      <c r="P33" s="39"/>
      <c r="Q33" s="39"/>
      <c r="R33" s="39"/>
      <c r="S33" s="39"/>
      <c r="T33" s="39"/>
      <c r="U33" s="39"/>
      <c r="V33" s="39"/>
      <c r="W33" s="39"/>
      <c r="X33" s="39"/>
      <c r="Y33" s="39"/>
    </row>
    <row r="34" ht="14.25" customHeight="1">
      <c r="A34" s="1"/>
      <c r="B34" s="37" t="s">
        <v>42</v>
      </c>
      <c r="C34" s="38" t="s">
        <v>43</v>
      </c>
      <c r="D34" s="39"/>
      <c r="E34" s="39"/>
      <c r="F34" s="39"/>
      <c r="G34" s="39"/>
      <c r="H34" s="39"/>
      <c r="I34" s="39"/>
      <c r="J34" s="39"/>
      <c r="K34" s="39"/>
      <c r="L34" s="39"/>
      <c r="M34" s="60"/>
      <c r="N34" s="61"/>
      <c r="O34" s="62"/>
      <c r="P34" s="39"/>
      <c r="Q34" s="39"/>
      <c r="R34" s="39"/>
      <c r="S34" s="39"/>
      <c r="T34" s="39"/>
      <c r="U34" s="39"/>
      <c r="V34" s="39"/>
      <c r="W34" s="39"/>
      <c r="X34" s="39"/>
      <c r="Y34" s="39"/>
    </row>
    <row r="35" ht="14.25" customHeight="1">
      <c r="A35" s="1"/>
      <c r="B35" s="37"/>
      <c r="C35" s="39" t="s">
        <v>44</v>
      </c>
      <c r="D35" s="39"/>
      <c r="E35" s="39"/>
      <c r="F35" s="39"/>
      <c r="G35" s="39"/>
      <c r="H35" s="39"/>
      <c r="I35" s="39"/>
      <c r="J35" s="39" t="s">
        <v>35</v>
      </c>
      <c r="K35" s="39">
        <f t="shared" ref="K35:R35" si="8">IFERROR(K181/K180*100,0)</f>
        <v>0</v>
      </c>
      <c r="L35" s="39">
        <f t="shared" si="8"/>
        <v>0</v>
      </c>
      <c r="M35" s="60">
        <f t="shared" si="8"/>
        <v>0</v>
      </c>
      <c r="N35" s="61">
        <f t="shared" si="8"/>
        <v>75</v>
      </c>
      <c r="O35" s="62">
        <f t="shared" si="8"/>
        <v>0</v>
      </c>
      <c r="P35" s="39">
        <f t="shared" si="8"/>
        <v>0</v>
      </c>
      <c r="Q35" s="39">
        <f t="shared" si="8"/>
        <v>300</v>
      </c>
      <c r="R35" s="39">
        <f t="shared" si="8"/>
        <v>0</v>
      </c>
      <c r="S35" s="46">
        <f t="shared" ref="S35:U35" si="9">IF(K35=0,0,IF((O35/K35*100)&gt;120,120,O35/K35*100))</f>
        <v>0</v>
      </c>
      <c r="T35" s="46">
        <f t="shared" si="9"/>
        <v>0</v>
      </c>
      <c r="U35" s="46">
        <f t="shared" si="9"/>
        <v>0</v>
      </c>
      <c r="V35" s="46">
        <f t="shared" ref="V35:Y35" si="10">IF($N35=0,0,IF((O35/$N35*100)&gt;120,120,O35/$N35*100))</f>
        <v>0</v>
      </c>
      <c r="W35" s="46">
        <f t="shared" si="10"/>
        <v>0</v>
      </c>
      <c r="X35" s="46">
        <f t="shared" si="10"/>
        <v>120</v>
      </c>
      <c r="Y35" s="46">
        <f t="shared" si="10"/>
        <v>0</v>
      </c>
      <c r="AA35" s="5" t="s">
        <v>36</v>
      </c>
    </row>
    <row r="36" ht="14.25" customHeight="1">
      <c r="A36" s="1"/>
      <c r="B36" s="37"/>
      <c r="C36" s="70" t="s">
        <v>45</v>
      </c>
      <c r="D36" s="39"/>
      <c r="E36" s="39"/>
      <c r="F36" s="39"/>
      <c r="G36" s="39"/>
      <c r="H36" s="39"/>
      <c r="I36" s="39"/>
      <c r="J36" s="39" t="s">
        <v>35</v>
      </c>
      <c r="K36" s="42"/>
      <c r="L36" s="42"/>
      <c r="M36" s="43"/>
      <c r="N36" s="71"/>
      <c r="O36" s="45"/>
      <c r="P36" s="42"/>
      <c r="Q36" s="42"/>
      <c r="R36" s="42"/>
      <c r="S36" s="46">
        <f t="shared" ref="S36:U36" si="11">IF(K36=0,0,IF((O36/K36*100)&gt;120,120,O36/K36*100))</f>
        <v>0</v>
      </c>
      <c r="T36" s="46">
        <f t="shared" si="11"/>
        <v>0</v>
      </c>
      <c r="U36" s="46">
        <f t="shared" si="11"/>
        <v>0</v>
      </c>
      <c r="V36" s="46">
        <f t="shared" ref="V36:Y36" si="12">IF($N36=0,0,IF((O36/$N36*100)&gt;120,120,O36/$N36*100))</f>
        <v>0</v>
      </c>
      <c r="W36" s="46">
        <f t="shared" si="12"/>
        <v>0</v>
      </c>
      <c r="X36" s="46">
        <f t="shared" si="12"/>
        <v>0</v>
      </c>
      <c r="Y36" s="46">
        <f t="shared" si="12"/>
        <v>0</v>
      </c>
      <c r="AA36" s="5" t="s">
        <v>36</v>
      </c>
    </row>
    <row r="37" ht="14.25" customHeight="1">
      <c r="A37" s="1"/>
      <c r="B37" s="51"/>
      <c r="C37" s="52"/>
      <c r="D37" s="53"/>
      <c r="E37" s="53"/>
      <c r="F37" s="53"/>
      <c r="G37" s="54" t="s">
        <v>471</v>
      </c>
      <c r="H37" s="53"/>
      <c r="I37" s="53"/>
      <c r="J37" s="53"/>
      <c r="K37" s="55"/>
      <c r="L37" s="55"/>
      <c r="M37" s="56"/>
      <c r="N37" s="72"/>
      <c r="O37" s="58"/>
      <c r="P37" s="55"/>
      <c r="Q37" s="55"/>
      <c r="R37" s="55"/>
      <c r="S37" s="59">
        <f t="shared" ref="S37:U37" si="13">IF(SUM(K35:K36)&gt;0,SUM(S35:S36)/COUNTIF(K35:K36,"&gt;0"),0)</f>
        <v>0</v>
      </c>
      <c r="T37" s="59">
        <f t="shared" si="13"/>
        <v>0</v>
      </c>
      <c r="U37" s="59">
        <f t="shared" si="13"/>
        <v>0</v>
      </c>
      <c r="V37" s="59">
        <f t="shared" ref="V37:Y37" si="14">IF(SUM($N35:$N36)&gt;0,SUM(V35:V36)/COUNTIF($N35:$N36,"&gt;0"),0)</f>
        <v>0</v>
      </c>
      <c r="W37" s="59">
        <f t="shared" si="14"/>
        <v>0</v>
      </c>
      <c r="X37" s="59">
        <f t="shared" si="14"/>
        <v>120</v>
      </c>
      <c r="Y37" s="59">
        <f t="shared" si="14"/>
        <v>0</v>
      </c>
    </row>
    <row r="38" ht="14.25" customHeight="1">
      <c r="A38" s="1"/>
      <c r="B38" s="37"/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60"/>
      <c r="N38" s="73"/>
      <c r="O38" s="62"/>
      <c r="P38" s="39"/>
      <c r="Q38" s="39"/>
      <c r="R38" s="39"/>
      <c r="S38" s="39"/>
      <c r="T38" s="39"/>
      <c r="U38" s="39"/>
      <c r="V38" s="39"/>
      <c r="W38" s="39"/>
      <c r="X38" s="39"/>
      <c r="Y38" s="39"/>
    </row>
    <row r="39" ht="14.25" customHeight="1">
      <c r="A39" s="1"/>
      <c r="B39" s="37" t="s">
        <v>47</v>
      </c>
      <c r="C39" s="38" t="s">
        <v>48</v>
      </c>
      <c r="D39" s="39"/>
      <c r="E39" s="39"/>
      <c r="F39" s="39"/>
      <c r="G39" s="39"/>
      <c r="H39" s="39"/>
      <c r="I39" s="39"/>
      <c r="J39" s="39"/>
      <c r="K39" s="39"/>
      <c r="L39" s="39"/>
      <c r="M39" s="60"/>
      <c r="N39" s="73"/>
      <c r="O39" s="62"/>
      <c r="P39" s="39"/>
      <c r="Q39" s="39"/>
      <c r="R39" s="39"/>
      <c r="S39" s="39"/>
      <c r="T39" s="39"/>
      <c r="U39" s="39"/>
      <c r="V39" s="39"/>
      <c r="W39" s="39"/>
      <c r="X39" s="39"/>
      <c r="Y39" s="39"/>
    </row>
    <row r="40" ht="14.25" customHeight="1">
      <c r="A40" s="1"/>
      <c r="B40" s="37"/>
      <c r="C40" s="39"/>
      <c r="D40" s="39"/>
      <c r="E40" s="39"/>
      <c r="F40" s="39"/>
      <c r="G40" s="39"/>
      <c r="H40" s="39"/>
      <c r="I40" s="39"/>
      <c r="J40" s="39"/>
      <c r="K40" s="39"/>
      <c r="L40" s="39"/>
      <c r="M40" s="60"/>
      <c r="N40" s="73"/>
      <c r="O40" s="62"/>
      <c r="P40" s="39"/>
      <c r="Q40" s="39"/>
      <c r="R40" s="39"/>
      <c r="S40" s="39"/>
      <c r="T40" s="39"/>
      <c r="U40" s="39"/>
      <c r="V40" s="39"/>
      <c r="W40" s="39"/>
      <c r="X40" s="39"/>
      <c r="Y40" s="39"/>
    </row>
    <row r="41" ht="14.25" customHeight="1">
      <c r="A41" s="1"/>
      <c r="B41" s="37">
        <v>3.1</v>
      </c>
      <c r="C41" s="38" t="s">
        <v>49</v>
      </c>
      <c r="D41" s="39"/>
      <c r="E41" s="39"/>
      <c r="F41" s="39"/>
      <c r="G41" s="39"/>
      <c r="H41" s="39"/>
      <c r="I41" s="39"/>
      <c r="J41" s="39"/>
      <c r="K41" s="39"/>
      <c r="L41" s="39"/>
      <c r="M41" s="60"/>
      <c r="N41" s="73"/>
      <c r="O41" s="62"/>
      <c r="P41" s="39"/>
      <c r="Q41" s="39"/>
      <c r="R41" s="39"/>
      <c r="S41" s="39"/>
      <c r="T41" s="39"/>
      <c r="U41" s="39"/>
      <c r="V41" s="39"/>
      <c r="W41" s="39"/>
      <c r="X41" s="39"/>
      <c r="Y41" s="39"/>
    </row>
    <row r="42" ht="14.25" customHeight="1">
      <c r="A42" s="1"/>
      <c r="B42" s="37"/>
      <c r="C42" s="39" t="s">
        <v>50</v>
      </c>
      <c r="D42" s="39"/>
      <c r="E42" s="39"/>
      <c r="F42" s="39"/>
      <c r="G42" s="39"/>
      <c r="H42" s="39"/>
      <c r="I42" s="39"/>
      <c r="J42" s="39" t="s">
        <v>35</v>
      </c>
      <c r="K42" s="42"/>
      <c r="L42" s="42"/>
      <c r="M42" s="43"/>
      <c r="N42" s="74"/>
      <c r="O42" s="45"/>
      <c r="P42" s="42"/>
      <c r="Q42" s="42"/>
      <c r="R42" s="42"/>
      <c r="S42" s="46">
        <f t="shared" ref="S42:U42" si="15">IF(K42=0,0,IF((O42/K42*100)&gt;120,120,O42/K42*100))</f>
        <v>0</v>
      </c>
      <c r="T42" s="46">
        <f t="shared" si="15"/>
        <v>0</v>
      </c>
      <c r="U42" s="46">
        <f t="shared" si="15"/>
        <v>0</v>
      </c>
      <c r="V42" s="46">
        <f t="shared" ref="V42:Y42" si="16">IF($N42=0,0,IF((O42/$N42*100)&gt;120,120,O42/$N42*100))</f>
        <v>0</v>
      </c>
      <c r="W42" s="46">
        <f t="shared" si="16"/>
        <v>0</v>
      </c>
      <c r="X42" s="46">
        <f t="shared" si="16"/>
        <v>0</v>
      </c>
      <c r="Y42" s="46">
        <f t="shared" si="16"/>
        <v>0</v>
      </c>
      <c r="AA42" s="5" t="s">
        <v>36</v>
      </c>
    </row>
    <row r="43" ht="14.25" customHeight="1">
      <c r="A43" s="1"/>
      <c r="B43" s="51"/>
      <c r="C43" s="52"/>
      <c r="D43" s="53"/>
      <c r="E43" s="53"/>
      <c r="F43" s="53"/>
      <c r="G43" s="54" t="s">
        <v>472</v>
      </c>
      <c r="H43" s="53"/>
      <c r="I43" s="53"/>
      <c r="J43" s="53"/>
      <c r="K43" s="55"/>
      <c r="L43" s="55"/>
      <c r="M43" s="56"/>
      <c r="N43" s="72"/>
      <c r="O43" s="58"/>
      <c r="P43" s="55"/>
      <c r="Q43" s="55"/>
      <c r="R43" s="55"/>
      <c r="S43" s="59">
        <f t="shared" ref="S43:U43" si="17">IF(SUM(K42)&gt;0,SUM(S42)/COUNTIF(K42,"&gt;0"),0)</f>
        <v>0</v>
      </c>
      <c r="T43" s="59">
        <f t="shared" si="17"/>
        <v>0</v>
      </c>
      <c r="U43" s="59">
        <f t="shared" si="17"/>
        <v>0</v>
      </c>
      <c r="V43" s="59">
        <f t="shared" ref="V43:Y43" si="18">IF(SUM($N42)&gt;0,SUM(V42)/COUNTIF($N42,"&gt;0"),0)</f>
        <v>0</v>
      </c>
      <c r="W43" s="59">
        <f t="shared" si="18"/>
        <v>0</v>
      </c>
      <c r="X43" s="59">
        <f t="shared" si="18"/>
        <v>0</v>
      </c>
      <c r="Y43" s="59">
        <f t="shared" si="18"/>
        <v>0</v>
      </c>
    </row>
    <row r="44" ht="14.25" customHeight="1">
      <c r="A44" s="1"/>
      <c r="B44" s="37"/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60"/>
      <c r="N44" s="73"/>
      <c r="O44" s="62"/>
      <c r="P44" s="39"/>
      <c r="Q44" s="39"/>
      <c r="R44" s="39"/>
      <c r="S44" s="39"/>
      <c r="T44" s="39"/>
      <c r="U44" s="39"/>
      <c r="V44" s="39"/>
      <c r="W44" s="39"/>
      <c r="X44" s="39"/>
      <c r="Y44" s="39"/>
    </row>
    <row r="45" ht="14.25" customHeight="1">
      <c r="A45" s="1"/>
      <c r="B45" s="37" t="s">
        <v>52</v>
      </c>
      <c r="C45" s="38" t="s">
        <v>53</v>
      </c>
      <c r="D45" s="39"/>
      <c r="E45" s="39"/>
      <c r="F45" s="39"/>
      <c r="G45" s="39"/>
      <c r="H45" s="39"/>
      <c r="I45" s="39"/>
      <c r="J45" s="39"/>
      <c r="K45" s="39"/>
      <c r="L45" s="39"/>
      <c r="M45" s="60"/>
      <c r="N45" s="73"/>
      <c r="O45" s="62"/>
      <c r="P45" s="39"/>
      <c r="Q45" s="39"/>
      <c r="R45" s="39"/>
      <c r="S45" s="39"/>
      <c r="T45" s="39"/>
      <c r="U45" s="39"/>
      <c r="V45" s="39"/>
      <c r="W45" s="39"/>
      <c r="X45" s="39"/>
      <c r="Y45" s="39"/>
    </row>
    <row r="46" ht="14.25" customHeight="1">
      <c r="A46" s="1"/>
      <c r="B46" s="37"/>
      <c r="C46" s="39"/>
      <c r="D46" s="39"/>
      <c r="E46" s="39"/>
      <c r="F46" s="39"/>
      <c r="G46" s="39"/>
      <c r="H46" s="39"/>
      <c r="I46" s="39"/>
      <c r="J46" s="39"/>
      <c r="K46" s="39"/>
      <c r="L46" s="39"/>
      <c r="M46" s="60"/>
      <c r="N46" s="73"/>
      <c r="O46" s="62"/>
      <c r="P46" s="39"/>
      <c r="Q46" s="39"/>
      <c r="R46" s="39"/>
      <c r="S46" s="39"/>
      <c r="T46" s="39"/>
      <c r="U46" s="39"/>
      <c r="V46" s="39"/>
      <c r="W46" s="39"/>
      <c r="X46" s="39"/>
      <c r="Y46" s="39"/>
    </row>
    <row r="47" ht="14.25" customHeight="1">
      <c r="A47" s="1"/>
      <c r="B47" s="37">
        <v>4.1</v>
      </c>
      <c r="C47" s="38" t="s">
        <v>54</v>
      </c>
      <c r="D47" s="39"/>
      <c r="E47" s="39"/>
      <c r="F47" s="39"/>
      <c r="G47" s="39"/>
      <c r="H47" s="39"/>
      <c r="I47" s="39"/>
      <c r="J47" s="39"/>
      <c r="K47" s="39"/>
      <c r="L47" s="39"/>
      <c r="M47" s="60"/>
      <c r="N47" s="73"/>
      <c r="O47" s="62"/>
      <c r="P47" s="39"/>
      <c r="Q47" s="39"/>
      <c r="R47" s="39"/>
      <c r="S47" s="39"/>
      <c r="T47" s="39"/>
      <c r="U47" s="39"/>
      <c r="V47" s="39"/>
      <c r="W47" s="39"/>
      <c r="X47" s="39"/>
      <c r="Y47" s="39"/>
    </row>
    <row r="48" ht="14.25" customHeight="1">
      <c r="A48" s="1"/>
      <c r="B48" s="37"/>
      <c r="C48" s="39" t="s">
        <v>55</v>
      </c>
      <c r="D48" s="39"/>
      <c r="E48" s="39"/>
      <c r="F48" s="39"/>
      <c r="G48" s="39"/>
      <c r="H48" s="39"/>
      <c r="I48" s="39"/>
      <c r="J48" s="39" t="s">
        <v>56</v>
      </c>
      <c r="K48" s="42"/>
      <c r="L48" s="42"/>
      <c r="M48" s="43"/>
      <c r="N48" s="75"/>
      <c r="O48" s="45"/>
      <c r="P48" s="42"/>
      <c r="Q48" s="42"/>
      <c r="R48" s="42"/>
      <c r="S48" s="46">
        <f t="shared" ref="S48:U48" si="19">IF(K48=0,0,IF((O48/K48*100)&gt;120,120,O48/K48*100))</f>
        <v>0</v>
      </c>
      <c r="T48" s="46">
        <f t="shared" si="19"/>
        <v>0</v>
      </c>
      <c r="U48" s="46">
        <f t="shared" si="19"/>
        <v>0</v>
      </c>
      <c r="V48" s="46">
        <f t="shared" ref="V48:Y48" si="20">IF($N48=0,0,IF((O48/$N48*100)&gt;120,120,O48/$N48*100))</f>
        <v>0</v>
      </c>
      <c r="W48" s="46">
        <f t="shared" si="20"/>
        <v>0</v>
      </c>
      <c r="X48" s="46">
        <f t="shared" si="20"/>
        <v>0</v>
      </c>
      <c r="Y48" s="46">
        <f t="shared" si="20"/>
        <v>0</v>
      </c>
      <c r="AA48" s="5" t="s">
        <v>57</v>
      </c>
    </row>
    <row r="49" ht="14.25" customHeight="1">
      <c r="A49" s="1"/>
      <c r="B49" s="37"/>
      <c r="C49" s="39" t="s">
        <v>58</v>
      </c>
      <c r="D49" s="39"/>
      <c r="E49" s="39"/>
      <c r="F49" s="39"/>
      <c r="G49" s="39"/>
      <c r="H49" s="39"/>
      <c r="I49" s="39"/>
      <c r="J49" s="39" t="s">
        <v>35</v>
      </c>
      <c r="K49" s="42"/>
      <c r="L49" s="42"/>
      <c r="M49" s="43"/>
      <c r="N49" s="75"/>
      <c r="O49" s="45"/>
      <c r="P49" s="42"/>
      <c r="Q49" s="42"/>
      <c r="R49" s="42"/>
      <c r="S49" s="46">
        <f t="shared" ref="S49:U49" si="21">IF(K49=0,0,IF((O49/K49*100)&gt;120,120,O49/K49*100))</f>
        <v>0</v>
      </c>
      <c r="T49" s="46">
        <f t="shared" si="21"/>
        <v>0</v>
      </c>
      <c r="U49" s="46">
        <f t="shared" si="21"/>
        <v>0</v>
      </c>
      <c r="V49" s="46">
        <f t="shared" ref="V49:Y49" si="22">IF($N49=0,0,IF((O49/$N49*100)&gt;120,120,O49/$N49*100))</f>
        <v>0</v>
      </c>
      <c r="W49" s="46">
        <f t="shared" si="22"/>
        <v>0</v>
      </c>
      <c r="X49" s="46">
        <f t="shared" si="22"/>
        <v>0</v>
      </c>
      <c r="Y49" s="46">
        <f t="shared" si="22"/>
        <v>0</v>
      </c>
      <c r="AA49" s="5" t="s">
        <v>57</v>
      </c>
    </row>
    <row r="50" ht="14.25" customHeight="1">
      <c r="A50" s="1"/>
      <c r="B50" s="51"/>
      <c r="C50" s="52"/>
      <c r="D50" s="53"/>
      <c r="E50" s="53"/>
      <c r="F50" s="53"/>
      <c r="G50" s="54" t="s">
        <v>473</v>
      </c>
      <c r="H50" s="53"/>
      <c r="I50" s="53"/>
      <c r="J50" s="53"/>
      <c r="K50" s="55"/>
      <c r="L50" s="55"/>
      <c r="M50" s="56"/>
      <c r="N50" s="76"/>
      <c r="O50" s="58"/>
      <c r="P50" s="55"/>
      <c r="Q50" s="55"/>
      <c r="R50" s="55"/>
      <c r="S50" s="59">
        <f t="shared" ref="S50:U50" si="23">IF(SUM(K48:K49)&gt;0,SUM(S48:S49)/COUNTIF(K48:K49,"&gt;0"),0)</f>
        <v>0</v>
      </c>
      <c r="T50" s="59">
        <f t="shared" si="23"/>
        <v>0</v>
      </c>
      <c r="U50" s="59">
        <f t="shared" si="23"/>
        <v>0</v>
      </c>
      <c r="V50" s="59">
        <f t="shared" ref="V50:Y50" si="24">IF(SUM($N48:$N49)&gt;0,SUM(V48:V49)/COUNTIF($N48:$N49,"&gt;0"),0)</f>
        <v>0</v>
      </c>
      <c r="W50" s="59">
        <f t="shared" si="24"/>
        <v>0</v>
      </c>
      <c r="X50" s="59">
        <f t="shared" si="24"/>
        <v>0</v>
      </c>
      <c r="Y50" s="59">
        <f t="shared" si="24"/>
        <v>0</v>
      </c>
    </row>
    <row r="51" ht="14.25" customHeight="1">
      <c r="A51" s="1"/>
      <c r="B51" s="37"/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77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</row>
    <row r="52" ht="24.75" customHeight="1">
      <c r="A52" s="1"/>
      <c r="B52" s="78"/>
      <c r="C52" s="79"/>
      <c r="D52" s="80"/>
      <c r="E52" s="80"/>
      <c r="F52" s="80"/>
      <c r="G52" s="81" t="s">
        <v>474</v>
      </c>
      <c r="H52" s="80"/>
      <c r="I52" s="80"/>
      <c r="J52" s="80"/>
      <c r="K52" s="82"/>
      <c r="L52" s="82"/>
      <c r="M52" s="82"/>
      <c r="N52" s="82"/>
      <c r="O52" s="82"/>
      <c r="P52" s="82"/>
      <c r="Q52" s="82"/>
      <c r="R52" s="82"/>
      <c r="S52" s="83">
        <f t="shared" ref="S52:U52" si="25">IF(SUM(K28:K49)&gt;0,SUM(S28:S29,S35:S36,S42,S48:S49)/COUNTIF(K28:K49,"&gt;0"),0)</f>
        <v>100</v>
      </c>
      <c r="T52" s="83">
        <f t="shared" si="25"/>
        <v>0</v>
      </c>
      <c r="U52" s="83">
        <f t="shared" si="25"/>
        <v>0</v>
      </c>
      <c r="V52" s="83">
        <f t="shared" ref="V52:Y52" si="26">IF(SUM($N28:$N49)&gt;0,SUM(V28:V29,V35:V36,V42,V48:V49)/COUNTIF($N28:$N49,"&gt;0"),0)</f>
        <v>60</v>
      </c>
      <c r="W52" s="83">
        <f t="shared" si="26"/>
        <v>0</v>
      </c>
      <c r="X52" s="83">
        <f t="shared" si="26"/>
        <v>60</v>
      </c>
      <c r="Y52" s="83">
        <f t="shared" si="26"/>
        <v>0</v>
      </c>
    </row>
    <row r="53" ht="24.75" customHeight="1">
      <c r="A53" s="1"/>
      <c r="B53" s="84"/>
      <c r="C53" s="85"/>
      <c r="D53" s="5"/>
      <c r="E53" s="5"/>
      <c r="F53" s="5"/>
      <c r="G53" s="86"/>
      <c r="H53" s="5"/>
      <c r="I53" s="5"/>
      <c r="J53" s="5"/>
      <c r="K53" s="87"/>
      <c r="L53" s="87"/>
      <c r="M53" s="87"/>
      <c r="N53" s="87"/>
      <c r="O53" s="87"/>
      <c r="P53" s="87"/>
      <c r="Q53" s="87"/>
      <c r="R53" s="87"/>
      <c r="S53" s="88"/>
      <c r="T53" s="88"/>
      <c r="U53" s="88"/>
      <c r="V53" s="88"/>
      <c r="W53" s="88"/>
      <c r="X53" s="88"/>
      <c r="Y53" s="88"/>
      <c r="Z53" s="5"/>
      <c r="AA53" s="5"/>
    </row>
    <row r="54" ht="14.25" customHeight="1">
      <c r="A54" s="1"/>
      <c r="B54" s="4" t="s">
        <v>61</v>
      </c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6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</row>
    <row r="55" ht="15.75" customHeight="1">
      <c r="A55" s="1"/>
      <c r="B55" s="89" t="s">
        <v>2</v>
      </c>
      <c r="C55" s="8"/>
      <c r="D55" s="8"/>
      <c r="E55" s="8"/>
      <c r="F55" s="8"/>
      <c r="G55" s="8"/>
      <c r="H55" s="8"/>
      <c r="I55" s="90"/>
      <c r="J55" s="91" t="s">
        <v>3</v>
      </c>
      <c r="K55" s="11"/>
      <c r="L55" s="11"/>
      <c r="M55" s="11"/>
      <c r="N55" s="11"/>
      <c r="O55" s="11"/>
      <c r="P55" s="11"/>
      <c r="Q55" s="11"/>
      <c r="R55" s="12"/>
      <c r="S55" s="91" t="s">
        <v>4</v>
      </c>
      <c r="T55" s="11"/>
      <c r="U55" s="11"/>
      <c r="V55" s="11"/>
      <c r="W55" s="11"/>
      <c r="X55" s="11"/>
      <c r="Y55" s="12"/>
    </row>
    <row r="56" ht="15.0" customHeight="1">
      <c r="A56" s="1"/>
      <c r="B56" s="13"/>
      <c r="I56" s="92"/>
      <c r="J56" s="93" t="s">
        <v>5</v>
      </c>
      <c r="K56" s="94" t="s">
        <v>62</v>
      </c>
      <c r="L56" s="17"/>
      <c r="M56" s="17"/>
      <c r="N56" s="18"/>
      <c r="O56" s="94" t="s">
        <v>63</v>
      </c>
      <c r="P56" s="17"/>
      <c r="Q56" s="17"/>
      <c r="R56" s="18"/>
      <c r="S56" s="94" t="s">
        <v>64</v>
      </c>
      <c r="T56" s="17"/>
      <c r="U56" s="18"/>
      <c r="V56" s="94" t="s">
        <v>9</v>
      </c>
      <c r="W56" s="17"/>
      <c r="X56" s="17"/>
      <c r="Y56" s="18"/>
    </row>
    <row r="57" ht="14.25" customHeight="1">
      <c r="A57" s="1"/>
      <c r="B57" s="19"/>
      <c r="C57" s="20"/>
      <c r="D57" s="20"/>
      <c r="E57" s="20"/>
      <c r="F57" s="20"/>
      <c r="G57" s="20"/>
      <c r="H57" s="20"/>
      <c r="I57" s="21"/>
      <c r="J57" s="22"/>
      <c r="K57" s="95" t="s">
        <v>10</v>
      </c>
      <c r="L57" s="95" t="s">
        <v>11</v>
      </c>
      <c r="M57" s="95" t="s">
        <v>12</v>
      </c>
      <c r="N57" s="95" t="s">
        <v>13</v>
      </c>
      <c r="O57" s="95" t="s">
        <v>10</v>
      </c>
      <c r="P57" s="95" t="s">
        <v>11</v>
      </c>
      <c r="Q57" s="95" t="s">
        <v>12</v>
      </c>
      <c r="R57" s="95" t="s">
        <v>13</v>
      </c>
      <c r="S57" s="95" t="s">
        <v>10</v>
      </c>
      <c r="T57" s="95" t="s">
        <v>11</v>
      </c>
      <c r="U57" s="95" t="s">
        <v>12</v>
      </c>
      <c r="V57" s="95" t="s">
        <v>10</v>
      </c>
      <c r="W57" s="95" t="s">
        <v>11</v>
      </c>
      <c r="X57" s="95" t="s">
        <v>12</v>
      </c>
      <c r="Y57" s="96" t="s">
        <v>13</v>
      </c>
      <c r="Z57" s="25"/>
    </row>
    <row r="58" ht="14.25" customHeight="1">
      <c r="A58" s="1"/>
      <c r="B58" s="97">
        <v>-1.0</v>
      </c>
      <c r="C58" s="27"/>
      <c r="D58" s="27"/>
      <c r="E58" s="27"/>
      <c r="F58" s="27"/>
      <c r="G58" s="27"/>
      <c r="H58" s="27"/>
      <c r="I58" s="98"/>
      <c r="J58" s="99">
        <v>-2.0</v>
      </c>
      <c r="K58" s="99">
        <v>-3.0</v>
      </c>
      <c r="L58" s="99">
        <v>-4.0</v>
      </c>
      <c r="M58" s="99">
        <v>-5.0</v>
      </c>
      <c r="N58" s="99">
        <v>-6.0</v>
      </c>
      <c r="O58" s="99">
        <v>-7.0</v>
      </c>
      <c r="P58" s="99">
        <v>-8.0</v>
      </c>
      <c r="Q58" s="99">
        <v>-9.0</v>
      </c>
      <c r="R58" s="99">
        <v>-10.0</v>
      </c>
      <c r="S58" s="99">
        <v>-11.0</v>
      </c>
      <c r="T58" s="99">
        <v>-12.0</v>
      </c>
      <c r="U58" s="99">
        <v>-13.0</v>
      </c>
      <c r="V58" s="99">
        <v>-14.0</v>
      </c>
      <c r="W58" s="99">
        <v>-15.0</v>
      </c>
      <c r="X58" s="99">
        <v>-16.0</v>
      </c>
      <c r="Y58" s="99">
        <v>-17.0</v>
      </c>
      <c r="Z58" s="100"/>
      <c r="AA58" s="374"/>
    </row>
    <row r="59" ht="14.25" customHeight="1">
      <c r="A59" s="1"/>
      <c r="B59" s="32"/>
      <c r="C59" s="33"/>
      <c r="D59" s="33"/>
      <c r="E59" s="33"/>
      <c r="F59" s="34"/>
      <c r="G59" s="35"/>
      <c r="H59" s="35"/>
      <c r="I59" s="35"/>
      <c r="J59" s="35"/>
      <c r="K59" s="35"/>
      <c r="L59" s="35"/>
      <c r="M59" s="35"/>
      <c r="N59" s="102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</row>
    <row r="60" ht="14.25" customHeight="1">
      <c r="A60" s="1"/>
      <c r="B60" s="37"/>
      <c r="C60" s="39" t="s">
        <v>65</v>
      </c>
      <c r="D60" s="39"/>
      <c r="E60" s="39"/>
      <c r="F60" s="39"/>
      <c r="G60" s="39"/>
      <c r="H60" s="39"/>
      <c r="I60" s="103"/>
      <c r="J60" s="103" t="s">
        <v>66</v>
      </c>
      <c r="K60" s="42"/>
      <c r="L60" s="42"/>
      <c r="M60" s="42"/>
      <c r="N60" s="237"/>
      <c r="O60" s="42"/>
      <c r="P60" s="42"/>
      <c r="Q60" s="42"/>
      <c r="R60" s="42"/>
      <c r="S60" s="46">
        <f t="shared" ref="S60:U60" si="27">IF(K60=0,0,IF((O60/K60*100)&gt;120,120,O60/K60*100))</f>
        <v>0</v>
      </c>
      <c r="T60" s="46">
        <f t="shared" si="27"/>
        <v>0</v>
      </c>
      <c r="U60" s="46">
        <f t="shared" si="27"/>
        <v>0</v>
      </c>
      <c r="V60" s="46">
        <f t="shared" ref="V60:Y60" si="28">IF($N60=0,0,IF((O60/$N60*100)&gt;120,120,O60/$N60*100))</f>
        <v>0</v>
      </c>
      <c r="W60" s="46">
        <f t="shared" si="28"/>
        <v>0</v>
      </c>
      <c r="X60" s="46">
        <f t="shared" si="28"/>
        <v>0</v>
      </c>
      <c r="Y60" s="46">
        <f t="shared" si="28"/>
        <v>0</v>
      </c>
    </row>
    <row r="61" ht="14.25" customHeight="1">
      <c r="A61" s="1"/>
      <c r="B61" s="37"/>
      <c r="C61" s="39" t="s">
        <v>67</v>
      </c>
      <c r="D61" s="39"/>
      <c r="E61" s="39"/>
      <c r="F61" s="39"/>
      <c r="G61" s="39"/>
      <c r="H61" s="39"/>
      <c r="I61" s="103"/>
      <c r="J61" s="103" t="s">
        <v>66</v>
      </c>
      <c r="K61" s="42"/>
      <c r="L61" s="42"/>
      <c r="M61" s="42"/>
      <c r="N61" s="104"/>
      <c r="O61" s="42"/>
      <c r="P61" s="42"/>
      <c r="Q61" s="42"/>
      <c r="R61" s="42"/>
      <c r="S61" s="46">
        <f t="shared" ref="S61:U61" si="29">IF(K61=0,0,IF((O61/K61*100)&gt;120,120,O61/K61*100))</f>
        <v>0</v>
      </c>
      <c r="T61" s="46">
        <f t="shared" si="29"/>
        <v>0</v>
      </c>
      <c r="U61" s="46">
        <f t="shared" si="29"/>
        <v>0</v>
      </c>
      <c r="V61" s="46">
        <f t="shared" ref="V61:Y61" si="30">IF($N61=0,0,IF((O61/$N61*100)&gt;120,120,O61/$N61*100))</f>
        <v>0</v>
      </c>
      <c r="W61" s="46">
        <f t="shared" si="30"/>
        <v>0</v>
      </c>
      <c r="X61" s="46">
        <f t="shared" si="30"/>
        <v>0</v>
      </c>
      <c r="Y61" s="46">
        <f t="shared" si="30"/>
        <v>0</v>
      </c>
    </row>
    <row r="62" ht="14.25" customHeight="1">
      <c r="A62" s="1"/>
      <c r="B62" s="37"/>
      <c r="C62" s="39" t="s">
        <v>68</v>
      </c>
      <c r="D62" s="39"/>
      <c r="E62" s="39"/>
      <c r="F62" s="41"/>
      <c r="G62" s="39"/>
      <c r="H62" s="39"/>
      <c r="I62" s="103"/>
      <c r="J62" s="103" t="s">
        <v>35</v>
      </c>
      <c r="K62" s="42">
        <v>15.0</v>
      </c>
      <c r="L62" s="42">
        <v>40.0</v>
      </c>
      <c r="M62" s="42">
        <v>76.0</v>
      </c>
      <c r="N62" s="104">
        <v>98.0</v>
      </c>
      <c r="O62" s="42">
        <v>15.0</v>
      </c>
      <c r="P62" s="42"/>
      <c r="Q62" s="42"/>
      <c r="R62" s="42"/>
      <c r="S62" s="46">
        <f t="shared" ref="S62:U62" si="31">IF(K62=0,0,IF((O62/K62*100)&gt;120,120,O62/K62*100))</f>
        <v>100</v>
      </c>
      <c r="T62" s="46">
        <f t="shared" si="31"/>
        <v>0</v>
      </c>
      <c r="U62" s="46">
        <f t="shared" si="31"/>
        <v>0</v>
      </c>
      <c r="V62" s="46">
        <f t="shared" ref="V62:Y62" si="32">IF($N62=0,0,IF((O62/$N62*100)&gt;120,120,O62/$N62*100))</f>
        <v>15.30612245</v>
      </c>
      <c r="W62" s="46">
        <f t="shared" si="32"/>
        <v>0</v>
      </c>
      <c r="X62" s="46">
        <f t="shared" si="32"/>
        <v>0</v>
      </c>
      <c r="Y62" s="46">
        <f t="shared" si="32"/>
        <v>0</v>
      </c>
    </row>
    <row r="63" ht="14.25" customHeight="1">
      <c r="A63" s="1"/>
      <c r="B63" s="37"/>
      <c r="C63" s="39" t="s">
        <v>69</v>
      </c>
      <c r="D63" s="39"/>
      <c r="E63" s="39"/>
      <c r="F63" s="41"/>
      <c r="G63" s="39"/>
      <c r="H63" s="39"/>
      <c r="I63" s="103"/>
      <c r="J63" s="103" t="s">
        <v>35</v>
      </c>
      <c r="K63" s="42"/>
      <c r="L63" s="42"/>
      <c r="M63" s="42"/>
      <c r="N63" s="104"/>
      <c r="O63" s="42"/>
      <c r="P63" s="42"/>
      <c r="Q63" s="42"/>
      <c r="R63" s="42"/>
      <c r="S63" s="46">
        <f t="shared" ref="S63:U63" si="33">IF(K63=0,0,IF((O63/K63*100)&gt;120,120,O63/K63*100))</f>
        <v>0</v>
      </c>
      <c r="T63" s="46">
        <f t="shared" si="33"/>
        <v>0</v>
      </c>
      <c r="U63" s="46">
        <f t="shared" si="33"/>
        <v>0</v>
      </c>
      <c r="V63" s="46">
        <f t="shared" ref="V63:Y63" si="34">IF($N63=0,0,IF((O63/$N63*100)&gt;120,120,O63/$N63*100))</f>
        <v>0</v>
      </c>
      <c r="W63" s="46">
        <f t="shared" si="34"/>
        <v>0</v>
      </c>
      <c r="X63" s="46">
        <f t="shared" si="34"/>
        <v>0</v>
      </c>
      <c r="Y63" s="46">
        <f t="shared" si="34"/>
        <v>0</v>
      </c>
    </row>
    <row r="64" ht="14.25" customHeight="1">
      <c r="A64" s="1"/>
      <c r="B64" s="37"/>
      <c r="C64" s="39" t="s">
        <v>70</v>
      </c>
      <c r="D64" s="39"/>
      <c r="E64" s="39"/>
      <c r="F64" s="39"/>
      <c r="G64" s="39"/>
      <c r="H64" s="39"/>
      <c r="I64" s="103"/>
      <c r="J64" s="103" t="s">
        <v>35</v>
      </c>
      <c r="K64" s="42"/>
      <c r="L64" s="42"/>
      <c r="M64" s="42"/>
      <c r="N64" s="104"/>
      <c r="O64" s="42"/>
      <c r="P64" s="42"/>
      <c r="Q64" s="42"/>
      <c r="R64" s="42"/>
      <c r="S64" s="46">
        <f t="shared" ref="S64:U64" si="35">IF(K64=0,0,IF((O64/K64*100)&gt;120,120,O64/K64*100))</f>
        <v>0</v>
      </c>
      <c r="T64" s="46">
        <f t="shared" si="35"/>
        <v>0</v>
      </c>
      <c r="U64" s="46">
        <f t="shared" si="35"/>
        <v>0</v>
      </c>
      <c r="V64" s="46">
        <f t="shared" ref="V64:Y64" si="36">IF($N64=0,0,IF((O64/$N64*100)&gt;120,120,O64/$N64*100))</f>
        <v>0</v>
      </c>
      <c r="W64" s="46">
        <f t="shared" si="36"/>
        <v>0</v>
      </c>
      <c r="X64" s="46">
        <f t="shared" si="36"/>
        <v>0</v>
      </c>
      <c r="Y64" s="46">
        <f t="shared" si="36"/>
        <v>0</v>
      </c>
    </row>
    <row r="65" ht="14.25" customHeight="1">
      <c r="A65" s="1"/>
      <c r="B65" s="37"/>
      <c r="C65" s="39" t="s">
        <v>71</v>
      </c>
      <c r="D65" s="39"/>
      <c r="E65" s="39"/>
      <c r="F65" s="39"/>
      <c r="G65" s="39"/>
      <c r="H65" s="39"/>
      <c r="I65" s="103"/>
      <c r="J65" s="103" t="s">
        <v>35</v>
      </c>
      <c r="K65" s="106">
        <f t="shared" ref="K65:R65" si="37">(IF($N66&gt;0,K66/$N66*100,0)+IF($N67&gt;0,K67/$N67*100,0)+IF($N68&gt;0,K68/$N68*100,0)+IF($N69&gt;0,K69/$N69*100,0)+IF($N70&gt;0,K70/$N70*100,0)+IF($N71&gt;0,K71/$N71*100,0))/6</f>
        <v>5.312954876</v>
      </c>
      <c r="L65" s="106">
        <f t="shared" si="37"/>
        <v>10.69868996</v>
      </c>
      <c r="M65" s="246">
        <f t="shared" si="37"/>
        <v>13.68267831</v>
      </c>
      <c r="N65" s="107">
        <f t="shared" si="37"/>
        <v>16.66666667</v>
      </c>
      <c r="O65" s="108">
        <f t="shared" si="37"/>
        <v>5.312954876</v>
      </c>
      <c r="P65" s="106">
        <f t="shared" si="37"/>
        <v>0</v>
      </c>
      <c r="Q65" s="106">
        <f t="shared" si="37"/>
        <v>0</v>
      </c>
      <c r="R65" s="106">
        <f t="shared" si="37"/>
        <v>0</v>
      </c>
      <c r="S65" s="46">
        <f t="shared" ref="S65:U65" si="38">IF(K65=0,0,IF((O65/K65*100)&gt;120,120,O65/K65*100))</f>
        <v>100</v>
      </c>
      <c r="T65" s="46">
        <f t="shared" si="38"/>
        <v>0</v>
      </c>
      <c r="U65" s="46">
        <f t="shared" si="38"/>
        <v>0</v>
      </c>
      <c r="V65" s="46">
        <f t="shared" ref="V65:Y65" si="39">IF($N65=0,0,IF((O65/$N65*100)&gt;120,120,O65/$N65*100))</f>
        <v>31.87772926</v>
      </c>
      <c r="W65" s="46">
        <f t="shared" si="39"/>
        <v>0</v>
      </c>
      <c r="X65" s="46">
        <f t="shared" si="39"/>
        <v>0</v>
      </c>
      <c r="Y65" s="46">
        <f t="shared" si="39"/>
        <v>0</v>
      </c>
    </row>
    <row r="66" ht="14.25" customHeight="1">
      <c r="A66" s="1"/>
      <c r="B66" s="37"/>
      <c r="C66" s="39"/>
      <c r="D66" s="109" t="s">
        <v>72</v>
      </c>
      <c r="E66" s="39"/>
      <c r="F66" s="39"/>
      <c r="G66" s="39"/>
      <c r="H66" s="39"/>
      <c r="I66" s="103"/>
      <c r="J66" s="110" t="s">
        <v>73</v>
      </c>
      <c r="K66" s="42">
        <v>0.0</v>
      </c>
      <c r="L66" s="42">
        <v>0.0</v>
      </c>
      <c r="M66" s="42">
        <v>0.0</v>
      </c>
      <c r="N66" s="42">
        <v>0.0</v>
      </c>
      <c r="O66" s="42">
        <v>0.0</v>
      </c>
      <c r="P66" s="42">
        <v>0.0</v>
      </c>
      <c r="Q66" s="42">
        <v>0.0</v>
      </c>
      <c r="R66" s="42">
        <v>0.0</v>
      </c>
      <c r="S66" s="111"/>
      <c r="T66" s="111"/>
      <c r="U66" s="111"/>
      <c r="V66" s="111"/>
      <c r="W66" s="111"/>
      <c r="X66" s="111"/>
      <c r="Y66" s="111"/>
    </row>
    <row r="67" ht="14.25" customHeight="1">
      <c r="A67" s="1"/>
      <c r="B67" s="37"/>
      <c r="C67" s="39"/>
      <c r="D67" s="109" t="s">
        <v>74</v>
      </c>
      <c r="E67" s="39"/>
      <c r="F67" s="39"/>
      <c r="G67" s="39"/>
      <c r="H67" s="39"/>
      <c r="I67" s="103"/>
      <c r="J67" s="110" t="s">
        <v>73</v>
      </c>
      <c r="K67" s="42">
        <v>0.0</v>
      </c>
      <c r="L67" s="42">
        <v>0.0</v>
      </c>
      <c r="M67" s="42">
        <v>0.0</v>
      </c>
      <c r="N67" s="42">
        <v>0.0</v>
      </c>
      <c r="O67" s="42">
        <v>0.0</v>
      </c>
      <c r="P67" s="42">
        <v>0.0</v>
      </c>
      <c r="Q67" s="42">
        <v>0.0</v>
      </c>
      <c r="R67" s="42">
        <v>0.0</v>
      </c>
      <c r="S67" s="111"/>
      <c r="T67" s="111"/>
      <c r="U67" s="111"/>
      <c r="V67" s="111"/>
      <c r="W67" s="111"/>
      <c r="X67" s="111"/>
      <c r="Y67" s="111"/>
    </row>
    <row r="68" ht="14.25" customHeight="1">
      <c r="A68" s="1"/>
      <c r="B68" s="37"/>
      <c r="C68" s="39"/>
      <c r="D68" s="109" t="s">
        <v>75</v>
      </c>
      <c r="E68" s="39"/>
      <c r="F68" s="39"/>
      <c r="G68" s="39"/>
      <c r="H68" s="39"/>
      <c r="I68" s="103"/>
      <c r="J68" s="110" t="s">
        <v>73</v>
      </c>
      <c r="K68" s="42">
        <v>0.0</v>
      </c>
      <c r="L68" s="42">
        <v>0.0</v>
      </c>
      <c r="M68" s="42">
        <v>0.0</v>
      </c>
      <c r="N68" s="42">
        <v>0.0</v>
      </c>
      <c r="O68" s="42">
        <v>0.0</v>
      </c>
      <c r="P68" s="42">
        <v>0.0</v>
      </c>
      <c r="Q68" s="42">
        <v>0.0</v>
      </c>
      <c r="R68" s="42">
        <v>0.0</v>
      </c>
      <c r="S68" s="111"/>
      <c r="T68" s="111"/>
      <c r="U68" s="111"/>
      <c r="V68" s="111"/>
      <c r="W68" s="111"/>
      <c r="X68" s="111"/>
      <c r="Y68" s="111"/>
    </row>
    <row r="69" ht="14.25" customHeight="1">
      <c r="A69" s="1"/>
      <c r="B69" s="37"/>
      <c r="C69" s="39"/>
      <c r="D69" s="109" t="s">
        <v>76</v>
      </c>
      <c r="E69" s="39"/>
      <c r="F69" s="39"/>
      <c r="G69" s="39"/>
      <c r="H69" s="39"/>
      <c r="I69" s="103"/>
      <c r="J69" s="110" t="s">
        <v>77</v>
      </c>
      <c r="K69" s="42">
        <v>0.0</v>
      </c>
      <c r="L69" s="42">
        <v>0.0</v>
      </c>
      <c r="M69" s="42">
        <v>0.0</v>
      </c>
      <c r="N69" s="42">
        <v>0.0</v>
      </c>
      <c r="O69" s="42">
        <v>0.0</v>
      </c>
      <c r="P69" s="42">
        <v>0.0</v>
      </c>
      <c r="Q69" s="42">
        <v>0.0</v>
      </c>
      <c r="R69" s="42">
        <v>0.0</v>
      </c>
      <c r="S69" s="111"/>
      <c r="T69" s="111"/>
      <c r="U69" s="111"/>
      <c r="V69" s="111"/>
      <c r="W69" s="111"/>
      <c r="X69" s="111"/>
      <c r="Y69" s="111"/>
    </row>
    <row r="70" ht="14.25" customHeight="1">
      <c r="A70" s="1"/>
      <c r="B70" s="37"/>
      <c r="C70" s="39"/>
      <c r="D70" s="109" t="s">
        <v>78</v>
      </c>
      <c r="E70" s="39"/>
      <c r="F70" s="39"/>
      <c r="G70" s="39"/>
      <c r="H70" s="39"/>
      <c r="I70" s="103"/>
      <c r="J70" s="110" t="s">
        <v>77</v>
      </c>
      <c r="K70" s="42">
        <v>0.0</v>
      </c>
      <c r="L70" s="42">
        <v>0.0</v>
      </c>
      <c r="M70" s="42">
        <v>0.0</v>
      </c>
      <c r="N70" s="42">
        <v>0.0</v>
      </c>
      <c r="O70" s="42">
        <v>0.0</v>
      </c>
      <c r="P70" s="42">
        <v>0.0</v>
      </c>
      <c r="Q70" s="42">
        <v>0.0</v>
      </c>
      <c r="R70" s="42">
        <v>0.0</v>
      </c>
      <c r="S70" s="111"/>
      <c r="T70" s="111"/>
      <c r="U70" s="111"/>
      <c r="V70" s="111"/>
      <c r="W70" s="111"/>
      <c r="X70" s="111"/>
      <c r="Y70" s="111"/>
    </row>
    <row r="71" ht="14.25" customHeight="1">
      <c r="A71" s="1"/>
      <c r="B71" s="37"/>
      <c r="C71" s="39"/>
      <c r="D71" s="109" t="s">
        <v>79</v>
      </c>
      <c r="E71" s="39"/>
      <c r="F71" s="39"/>
      <c r="G71" s="39"/>
      <c r="H71" s="39"/>
      <c r="I71" s="103"/>
      <c r="J71" s="110" t="s">
        <v>80</v>
      </c>
      <c r="K71" s="42">
        <v>73.0</v>
      </c>
      <c r="L71" s="42">
        <v>147.0</v>
      </c>
      <c r="M71" s="42">
        <v>188.0</v>
      </c>
      <c r="N71" s="42">
        <v>229.0</v>
      </c>
      <c r="O71" s="42">
        <v>73.0</v>
      </c>
      <c r="P71" s="42"/>
      <c r="Q71" s="42"/>
      <c r="R71" s="42"/>
      <c r="S71" s="111"/>
      <c r="T71" s="111"/>
      <c r="U71" s="111"/>
      <c r="V71" s="111"/>
      <c r="W71" s="111"/>
      <c r="X71" s="111"/>
      <c r="Y71" s="111"/>
    </row>
    <row r="72" ht="14.25" customHeight="1">
      <c r="A72" s="1"/>
      <c r="B72" s="37"/>
      <c r="C72" s="39"/>
      <c r="D72" s="39"/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</row>
    <row r="73" ht="14.25" customHeight="1">
      <c r="A73" s="1"/>
      <c r="B73" s="112"/>
      <c r="C73" s="113"/>
      <c r="D73" s="114"/>
      <c r="E73" s="114"/>
      <c r="F73" s="114"/>
      <c r="G73" s="115" t="s">
        <v>475</v>
      </c>
      <c r="H73" s="114"/>
      <c r="I73" s="114"/>
      <c r="J73" s="114"/>
      <c r="K73" s="116"/>
      <c r="L73" s="116"/>
      <c r="M73" s="116"/>
      <c r="N73" s="116"/>
      <c r="O73" s="116"/>
      <c r="P73" s="116"/>
      <c r="Q73" s="116"/>
      <c r="R73" s="116"/>
      <c r="S73" s="117">
        <f t="shared" ref="S73:U73" si="40">IF(SUM(K60:K65)&gt;0,SUM(S60:S65)/COUNTIF(K60:K65,"&gt;0"),0)</f>
        <v>100</v>
      </c>
      <c r="T73" s="117">
        <f t="shared" si="40"/>
        <v>0</v>
      </c>
      <c r="U73" s="117">
        <f t="shared" si="40"/>
        <v>0</v>
      </c>
      <c r="V73" s="117">
        <f t="shared" ref="V73:Y73" si="41">IF(SUM($N60:$N65)&gt;0,SUM(V60:V65)/COUNTIF($N60:$N65,"&gt;0"),0)</f>
        <v>23.59192585</v>
      </c>
      <c r="W73" s="117">
        <f t="shared" si="41"/>
        <v>0</v>
      </c>
      <c r="X73" s="117">
        <f t="shared" si="41"/>
        <v>0</v>
      </c>
      <c r="Y73" s="117">
        <f t="shared" si="41"/>
        <v>0</v>
      </c>
    </row>
    <row r="74" ht="14.25" customHeight="1">
      <c r="A74" s="1"/>
    </row>
    <row r="75" ht="14.25" customHeight="1">
      <c r="A75" s="1"/>
    </row>
    <row r="76" ht="14.25" customHeight="1">
      <c r="A76" s="1"/>
      <c r="B76" s="4" t="s">
        <v>82</v>
      </c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6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</row>
    <row r="77" ht="14.25" customHeight="1">
      <c r="A77" s="1"/>
      <c r="B77" s="118" t="s">
        <v>2</v>
      </c>
      <c r="C77" s="8"/>
      <c r="D77" s="8"/>
      <c r="E77" s="8"/>
      <c r="F77" s="8"/>
      <c r="G77" s="8"/>
      <c r="H77" s="119"/>
      <c r="I77" s="120" t="s">
        <v>83</v>
      </c>
      <c r="J77" s="121" t="s">
        <v>3</v>
      </c>
      <c r="K77" s="11"/>
      <c r="L77" s="11"/>
      <c r="M77" s="11"/>
      <c r="N77" s="11"/>
      <c r="O77" s="11"/>
      <c r="P77" s="11"/>
      <c r="Q77" s="11"/>
      <c r="R77" s="12"/>
      <c r="S77" s="121" t="s">
        <v>4</v>
      </c>
      <c r="T77" s="11"/>
      <c r="U77" s="11"/>
      <c r="V77" s="11"/>
      <c r="W77" s="11"/>
      <c r="X77" s="11"/>
      <c r="Y77" s="12"/>
    </row>
    <row r="78" ht="15.0" customHeight="1">
      <c r="A78" s="1"/>
      <c r="B78" s="13"/>
      <c r="H78" s="122"/>
      <c r="I78" s="123"/>
      <c r="J78" s="124" t="s">
        <v>5</v>
      </c>
      <c r="K78" s="125" t="s">
        <v>6</v>
      </c>
      <c r="L78" s="17"/>
      <c r="M78" s="17"/>
      <c r="N78" s="18"/>
      <c r="O78" s="125" t="s">
        <v>7</v>
      </c>
      <c r="P78" s="17"/>
      <c r="Q78" s="17"/>
      <c r="R78" s="18"/>
      <c r="S78" s="125" t="s">
        <v>8</v>
      </c>
      <c r="T78" s="17"/>
      <c r="U78" s="18"/>
      <c r="V78" s="125" t="s">
        <v>9</v>
      </c>
      <c r="W78" s="17"/>
      <c r="X78" s="17"/>
      <c r="Y78" s="18"/>
    </row>
    <row r="79" ht="14.25" customHeight="1">
      <c r="A79" s="1"/>
      <c r="B79" s="19"/>
      <c r="C79" s="20"/>
      <c r="D79" s="20"/>
      <c r="E79" s="20"/>
      <c r="F79" s="20"/>
      <c r="G79" s="20"/>
      <c r="H79" s="126"/>
      <c r="I79" s="22"/>
      <c r="J79" s="22"/>
      <c r="K79" s="127" t="s">
        <v>10</v>
      </c>
      <c r="L79" s="127" t="s">
        <v>11</v>
      </c>
      <c r="M79" s="127" t="s">
        <v>12</v>
      </c>
      <c r="N79" s="127" t="s">
        <v>13</v>
      </c>
      <c r="O79" s="127" t="s">
        <v>10</v>
      </c>
      <c r="P79" s="127" t="s">
        <v>11</v>
      </c>
      <c r="Q79" s="127" t="s">
        <v>12</v>
      </c>
      <c r="R79" s="127" t="s">
        <v>13</v>
      </c>
      <c r="S79" s="127" t="s">
        <v>10</v>
      </c>
      <c r="T79" s="127" t="s">
        <v>11</v>
      </c>
      <c r="U79" s="127" t="s">
        <v>12</v>
      </c>
      <c r="V79" s="127" t="s">
        <v>10</v>
      </c>
      <c r="W79" s="127" t="s">
        <v>11</v>
      </c>
      <c r="X79" s="127" t="s">
        <v>12</v>
      </c>
      <c r="Y79" s="128" t="s">
        <v>13</v>
      </c>
      <c r="Z79" s="25"/>
    </row>
    <row r="80" ht="14.25" customHeight="1">
      <c r="A80" s="1"/>
      <c r="B80" s="129">
        <v>-1.0</v>
      </c>
      <c r="C80" s="27"/>
      <c r="D80" s="27"/>
      <c r="E80" s="27"/>
      <c r="F80" s="27"/>
      <c r="G80" s="27"/>
      <c r="H80" s="130"/>
      <c r="I80" s="131">
        <v>-2.0</v>
      </c>
      <c r="J80" s="131">
        <v>-3.0</v>
      </c>
      <c r="K80" s="131">
        <v>-4.0</v>
      </c>
      <c r="L80" s="131">
        <v>-5.0</v>
      </c>
      <c r="M80" s="131">
        <v>-6.0</v>
      </c>
      <c r="N80" s="131">
        <v>-7.0</v>
      </c>
      <c r="O80" s="131">
        <v>-8.0</v>
      </c>
      <c r="P80" s="131">
        <v>-9.0</v>
      </c>
      <c r="Q80" s="131">
        <v>-10.0</v>
      </c>
      <c r="R80" s="131">
        <v>-11.0</v>
      </c>
      <c r="S80" s="131">
        <v>-12.0</v>
      </c>
      <c r="T80" s="131">
        <v>-13.0</v>
      </c>
      <c r="U80" s="131">
        <v>-14.0</v>
      </c>
      <c r="V80" s="131">
        <v>-15.0</v>
      </c>
      <c r="W80" s="131">
        <v>-16.0</v>
      </c>
      <c r="X80" s="131">
        <v>-17.0</v>
      </c>
      <c r="Y80" s="131">
        <v>-18.0</v>
      </c>
      <c r="Z80" s="25"/>
    </row>
    <row r="81" ht="14.25" customHeight="1">
      <c r="A81" s="1"/>
      <c r="B81" s="32"/>
      <c r="C81" s="33"/>
      <c r="D81" s="33"/>
      <c r="E81" s="33"/>
      <c r="F81" s="34"/>
      <c r="G81" s="35"/>
      <c r="H81" s="35"/>
      <c r="I81" s="35"/>
      <c r="J81" s="35"/>
      <c r="K81" s="35"/>
      <c r="L81" s="35"/>
      <c r="M81" s="35"/>
      <c r="N81" s="102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</row>
    <row r="82" ht="14.25" customHeight="1">
      <c r="A82" s="1"/>
      <c r="B82" s="37"/>
      <c r="C82" s="39" t="s">
        <v>84</v>
      </c>
      <c r="D82" s="39"/>
      <c r="E82" s="39"/>
      <c r="F82" s="39"/>
      <c r="G82" s="39"/>
      <c r="H82" s="39"/>
      <c r="I82" s="159">
        <f>'Sub Koordinator Modif'!I76+'Sub Koordinator Modif'!I102+'Sub Koordinator Modif'!I125</f>
        <v>18</v>
      </c>
      <c r="J82" s="133" t="s">
        <v>85</v>
      </c>
      <c r="K82" s="135">
        <f t="shared" ref="K82:R82" si="42">SUM(K83:K84)</f>
        <v>3</v>
      </c>
      <c r="L82" s="135">
        <f t="shared" si="42"/>
        <v>9</v>
      </c>
      <c r="M82" s="249">
        <f t="shared" si="42"/>
        <v>12</v>
      </c>
      <c r="N82" s="250">
        <f t="shared" si="42"/>
        <v>18</v>
      </c>
      <c r="O82" s="251">
        <f t="shared" si="42"/>
        <v>3</v>
      </c>
      <c r="P82" s="135">
        <f t="shared" si="42"/>
        <v>0</v>
      </c>
      <c r="Q82" s="135">
        <f t="shared" si="42"/>
        <v>0</v>
      </c>
      <c r="R82" s="135">
        <f t="shared" si="42"/>
        <v>0</v>
      </c>
      <c r="S82" s="46">
        <f t="shared" ref="S82:U82" si="43">IF(K82=0,0,IF((O82/K82*100)&gt;120,120,O82/K82*100))</f>
        <v>100</v>
      </c>
      <c r="T82" s="46">
        <f t="shared" si="43"/>
        <v>0</v>
      </c>
      <c r="U82" s="46">
        <f t="shared" si="43"/>
        <v>0</v>
      </c>
      <c r="V82" s="46">
        <f t="shared" ref="V82:Y82" si="44">IF($N82=0,0,IF((O82/$N82*100)&gt;120,120,O82/$N82*100))</f>
        <v>16.66666667</v>
      </c>
      <c r="W82" s="46">
        <f t="shared" si="44"/>
        <v>0</v>
      </c>
      <c r="X82" s="46">
        <f t="shared" si="44"/>
        <v>0</v>
      </c>
      <c r="Y82" s="46">
        <f t="shared" si="44"/>
        <v>0</v>
      </c>
    </row>
    <row r="83" ht="14.25" customHeight="1">
      <c r="A83" s="1"/>
      <c r="B83" s="37"/>
      <c r="C83" s="39"/>
      <c r="D83" s="109" t="s">
        <v>86</v>
      </c>
      <c r="E83" s="39"/>
      <c r="F83" s="39"/>
      <c r="G83" s="39"/>
      <c r="H83" s="39"/>
      <c r="I83" s="159">
        <f>'Sub Koordinator Modif'!I77+'Sub Koordinator Modif'!I103+'Sub Koordinator Modif'!I126</f>
        <v>13</v>
      </c>
      <c r="J83" s="136" t="s">
        <v>87</v>
      </c>
      <c r="K83" s="42">
        <f>'Sub Koordinator Modif'!K77+'Sub Koordinator Modif'!K103+'Sub Koordinator Modif'!K126</f>
        <v>3</v>
      </c>
      <c r="L83" s="42">
        <f>'Sub Koordinator Modif'!L77+'Sub Koordinator Modif'!L103+'Sub Koordinator Modif'!L126</f>
        <v>7</v>
      </c>
      <c r="M83" s="42">
        <f>'Sub Koordinator Modif'!M77+'Sub Koordinator Modif'!M103+'Sub Koordinator Modif'!M126</f>
        <v>10</v>
      </c>
      <c r="N83" s="42">
        <f>'Sub Koordinator Modif'!N77+'Sub Koordinator Modif'!N103+'Sub Koordinator Modif'!N126</f>
        <v>13</v>
      </c>
      <c r="O83" s="42">
        <f>'Sub Koordinator Modif'!O77+'Sub Koordinator Modif'!O103+'Sub Koordinator Modif'!O126</f>
        <v>3</v>
      </c>
      <c r="P83" s="42"/>
      <c r="Q83" s="42"/>
      <c r="R83" s="42"/>
      <c r="S83" s="46">
        <f t="shared" ref="S83:U83" si="45">IF(K83=0,0,IF((O83/K83*100)&gt;120,120,O83/K83*100))</f>
        <v>100</v>
      </c>
      <c r="T83" s="46">
        <f t="shared" si="45"/>
        <v>0</v>
      </c>
      <c r="U83" s="46">
        <f t="shared" si="45"/>
        <v>0</v>
      </c>
      <c r="V83" s="46">
        <f t="shared" ref="V83:Y83" si="46">IF($N83=0,0,IF((O83/$N83*100)&gt;120,120,O83/$N83*100))</f>
        <v>23.07692308</v>
      </c>
      <c r="W83" s="46">
        <f t="shared" si="46"/>
        <v>0</v>
      </c>
      <c r="X83" s="46">
        <f t="shared" si="46"/>
        <v>0</v>
      </c>
      <c r="Y83" s="46">
        <f t="shared" si="46"/>
        <v>0</v>
      </c>
    </row>
    <row r="84" ht="14.25" customHeight="1">
      <c r="A84" s="1"/>
      <c r="B84" s="37"/>
      <c r="C84" s="39"/>
      <c r="D84" s="109" t="s">
        <v>88</v>
      </c>
      <c r="E84" s="39"/>
      <c r="F84" s="39"/>
      <c r="G84" s="39"/>
      <c r="H84" s="39"/>
      <c r="I84" s="159">
        <f>'Sub Koordinator Modif'!I78+'Sub Koordinator Modif'!I104+'Sub Koordinator Modif'!I127</f>
        <v>5</v>
      </c>
      <c r="J84" s="136" t="s">
        <v>66</v>
      </c>
      <c r="K84" s="42">
        <f>'Sub Koordinator Modif'!K78+'Sub Koordinator Modif'!K104+'Sub Koordinator Modif'!K127</f>
        <v>0</v>
      </c>
      <c r="L84" s="42">
        <f>'Sub Koordinator Modif'!L78+'Sub Koordinator Modif'!L104+'Sub Koordinator Modif'!L127</f>
        <v>2</v>
      </c>
      <c r="M84" s="42">
        <f>'Sub Koordinator Modif'!M78+'Sub Koordinator Modif'!M104+'Sub Koordinator Modif'!M127</f>
        <v>2</v>
      </c>
      <c r="N84" s="42">
        <f>'Sub Koordinator Modif'!N78+'Sub Koordinator Modif'!N104+'Sub Koordinator Modif'!N127</f>
        <v>5</v>
      </c>
      <c r="O84" s="42">
        <f>'Sub Koordinator Modif'!O78+'Sub Koordinator Modif'!O104+'Sub Koordinator Modif'!O127</f>
        <v>0</v>
      </c>
      <c r="P84" s="42"/>
      <c r="Q84" s="42"/>
      <c r="R84" s="42"/>
      <c r="S84" s="46">
        <f t="shared" ref="S84:U84" si="47">IF(K84=0,0,IF((O84/K84*100)&gt;120,120,O84/K84*100))</f>
        <v>0</v>
      </c>
      <c r="T84" s="46">
        <f t="shared" si="47"/>
        <v>0</v>
      </c>
      <c r="U84" s="46">
        <f t="shared" si="47"/>
        <v>0</v>
      </c>
      <c r="V84" s="46">
        <f t="shared" ref="V84:Y84" si="48">IF($N84=0,0,IF((O84/$N84*100)&gt;120,120,O84/$N84*100))</f>
        <v>0</v>
      </c>
      <c r="W84" s="46">
        <f t="shared" si="48"/>
        <v>0</v>
      </c>
      <c r="X84" s="46">
        <f t="shared" si="48"/>
        <v>0</v>
      </c>
      <c r="Y84" s="46">
        <f t="shared" si="48"/>
        <v>0</v>
      </c>
    </row>
    <row r="85" ht="14.25" customHeight="1">
      <c r="A85" s="1"/>
      <c r="B85" s="37"/>
      <c r="C85" s="39" t="s">
        <v>89</v>
      </c>
      <c r="D85" s="39"/>
      <c r="E85" s="39"/>
      <c r="F85" s="39"/>
      <c r="G85" s="39"/>
      <c r="H85" s="39"/>
      <c r="I85" s="159">
        <f>'Sub Koordinator Modif'!I79+'Sub Koordinator Modif'!I105+'Sub Koordinator Modif'!I128</f>
        <v>18</v>
      </c>
      <c r="J85" s="133" t="s">
        <v>85</v>
      </c>
      <c r="K85" s="135">
        <f t="shared" ref="K85:R85" si="49">SUM(K86:K87)</f>
        <v>3</v>
      </c>
      <c r="L85" s="135">
        <f t="shared" si="49"/>
        <v>9</v>
      </c>
      <c r="M85" s="135">
        <f t="shared" si="49"/>
        <v>12</v>
      </c>
      <c r="N85" s="250">
        <f t="shared" si="49"/>
        <v>18</v>
      </c>
      <c r="O85" s="135">
        <f t="shared" si="49"/>
        <v>3</v>
      </c>
      <c r="P85" s="135">
        <f t="shared" si="49"/>
        <v>0</v>
      </c>
      <c r="Q85" s="135">
        <f t="shared" si="49"/>
        <v>0</v>
      </c>
      <c r="R85" s="135">
        <f t="shared" si="49"/>
        <v>0</v>
      </c>
      <c r="S85" s="46">
        <f t="shared" ref="S85:U85" si="50">IF(K85=0,0,IF((O85/K85*100)&gt;120,120,O85/K85*100))</f>
        <v>100</v>
      </c>
      <c r="T85" s="46">
        <f t="shared" si="50"/>
        <v>0</v>
      </c>
      <c r="U85" s="46">
        <f t="shared" si="50"/>
        <v>0</v>
      </c>
      <c r="V85" s="46">
        <f t="shared" ref="V85:Y85" si="51">IF($N85=0,0,IF((O85/$N85*100)&gt;120,120,O85/$N85*100))</f>
        <v>16.66666667</v>
      </c>
      <c r="W85" s="46">
        <f t="shared" si="51"/>
        <v>0</v>
      </c>
      <c r="X85" s="46">
        <f t="shared" si="51"/>
        <v>0</v>
      </c>
      <c r="Y85" s="46">
        <f t="shared" si="51"/>
        <v>0</v>
      </c>
    </row>
    <row r="86" ht="14.25" customHeight="1">
      <c r="A86" s="1"/>
      <c r="B86" s="37"/>
      <c r="C86" s="39"/>
      <c r="D86" s="109" t="s">
        <v>90</v>
      </c>
      <c r="E86" s="39"/>
      <c r="F86" s="39"/>
      <c r="G86" s="39"/>
      <c r="H86" s="39"/>
      <c r="I86" s="159">
        <f>'Sub Koordinator Modif'!I80+'Sub Koordinator Modif'!I106+'Sub Koordinator Modif'!I129</f>
        <v>13</v>
      </c>
      <c r="J86" s="136" t="s">
        <v>87</v>
      </c>
      <c r="K86" s="42">
        <f>'Sub Koordinator Modif'!K80+'Sub Koordinator Modif'!K106+'Sub Koordinator Modif'!K129</f>
        <v>3</v>
      </c>
      <c r="L86" s="42">
        <f>'Sub Koordinator Modif'!L80+'Sub Koordinator Modif'!L106+'Sub Koordinator Modif'!L129</f>
        <v>7</v>
      </c>
      <c r="M86" s="42">
        <f>'Sub Koordinator Modif'!M80+'Sub Koordinator Modif'!M106+'Sub Koordinator Modif'!M129</f>
        <v>10</v>
      </c>
      <c r="N86" s="42">
        <f>'Sub Koordinator Modif'!N80+'Sub Koordinator Modif'!N106+'Sub Koordinator Modif'!N129</f>
        <v>13</v>
      </c>
      <c r="O86" s="42">
        <f>'Sub Koordinator Modif'!O80+'Sub Koordinator Modif'!O106+'Sub Koordinator Modif'!O129</f>
        <v>3</v>
      </c>
      <c r="P86" s="42"/>
      <c r="Q86" s="42"/>
      <c r="R86" s="42"/>
      <c r="S86" s="46">
        <f t="shared" ref="S86:U86" si="52">IF(K86=0,0,IF((O86/K86*100)&gt;120,120,O86/K86*100))</f>
        <v>100</v>
      </c>
      <c r="T86" s="46">
        <f t="shared" si="52"/>
        <v>0</v>
      </c>
      <c r="U86" s="46">
        <f t="shared" si="52"/>
        <v>0</v>
      </c>
      <c r="V86" s="46">
        <f t="shared" ref="V86:Y86" si="53">IF($N86=0,0,IF((O86/$N86*100)&gt;120,120,O86/$N86*100))</f>
        <v>23.07692308</v>
      </c>
      <c r="W86" s="46">
        <f t="shared" si="53"/>
        <v>0</v>
      </c>
      <c r="X86" s="46">
        <f t="shared" si="53"/>
        <v>0</v>
      </c>
      <c r="Y86" s="46">
        <f t="shared" si="53"/>
        <v>0</v>
      </c>
    </row>
    <row r="87" ht="14.25" customHeight="1">
      <c r="A87" s="1"/>
      <c r="B87" s="37"/>
      <c r="C87" s="39"/>
      <c r="D87" s="109" t="s">
        <v>91</v>
      </c>
      <c r="E87" s="39"/>
      <c r="F87" s="39"/>
      <c r="G87" s="39"/>
      <c r="H87" s="39"/>
      <c r="I87" s="159">
        <f>'Sub Koordinator Modif'!I81+'Sub Koordinator Modif'!I107+'Sub Koordinator Modif'!I130</f>
        <v>5</v>
      </c>
      <c r="J87" s="136" t="s">
        <v>66</v>
      </c>
      <c r="K87" s="42">
        <f>'Sub Koordinator Modif'!K81+'Sub Koordinator Modif'!K107+'Sub Koordinator Modif'!K130</f>
        <v>0</v>
      </c>
      <c r="L87" s="42">
        <f>'Sub Koordinator Modif'!L81+'Sub Koordinator Modif'!L107+'Sub Koordinator Modif'!L130</f>
        <v>2</v>
      </c>
      <c r="M87" s="42">
        <f>'Sub Koordinator Modif'!M81+'Sub Koordinator Modif'!M107+'Sub Koordinator Modif'!M130</f>
        <v>2</v>
      </c>
      <c r="N87" s="42">
        <f>'Sub Koordinator Modif'!N81+'Sub Koordinator Modif'!N107+'Sub Koordinator Modif'!N130</f>
        <v>5</v>
      </c>
      <c r="O87" s="42">
        <f>'Sub Koordinator Modif'!O81+'Sub Koordinator Modif'!O107+'Sub Koordinator Modif'!O130</f>
        <v>0</v>
      </c>
      <c r="P87" s="42"/>
      <c r="Q87" s="42"/>
      <c r="R87" s="42"/>
      <c r="S87" s="46">
        <f t="shared" ref="S87:U87" si="54">IF(K87=0,0,IF((O87/K87*100)&gt;120,120,O87/K87*100))</f>
        <v>0</v>
      </c>
      <c r="T87" s="46">
        <f t="shared" si="54"/>
        <v>0</v>
      </c>
      <c r="U87" s="46">
        <f t="shared" si="54"/>
        <v>0</v>
      </c>
      <c r="V87" s="46">
        <f t="shared" ref="V87:Y87" si="55">IF($N87=0,0,IF((O87/$N87*100)&gt;120,120,O87/$N87*100))</f>
        <v>0</v>
      </c>
      <c r="W87" s="46">
        <f t="shared" si="55"/>
        <v>0</v>
      </c>
      <c r="X87" s="46">
        <f t="shared" si="55"/>
        <v>0</v>
      </c>
      <c r="Y87" s="46">
        <f t="shared" si="55"/>
        <v>0</v>
      </c>
    </row>
    <row r="88" ht="14.25" customHeight="1">
      <c r="A88" s="1"/>
      <c r="B88" s="37"/>
      <c r="C88" s="39" t="s">
        <v>92</v>
      </c>
      <c r="D88" s="39"/>
      <c r="E88" s="39"/>
      <c r="F88" s="39"/>
      <c r="G88" s="39"/>
      <c r="H88" s="39"/>
      <c r="I88" s="159">
        <f>'Sub Koordinator Modif'!I82</f>
        <v>2</v>
      </c>
      <c r="J88" s="133" t="s">
        <v>85</v>
      </c>
      <c r="K88" s="42">
        <f>'Sub Koordinator Modif'!K82</f>
        <v>0</v>
      </c>
      <c r="L88" s="42">
        <f>'Sub Koordinator Modif'!L82</f>
        <v>1</v>
      </c>
      <c r="M88" s="42">
        <f>'Sub Koordinator Modif'!M82</f>
        <v>1</v>
      </c>
      <c r="N88" s="42">
        <f>'Sub Koordinator Modif'!N82</f>
        <v>2</v>
      </c>
      <c r="O88" s="42">
        <f>'Sub Koordinator Modif'!O82</f>
        <v>0</v>
      </c>
      <c r="P88" s="42"/>
      <c r="Q88" s="42"/>
      <c r="R88" s="42"/>
      <c r="S88" s="46">
        <f t="shared" ref="S88:U88" si="56">IF(K88=0,0,IF((O88/K88*100)&gt;120,120,O88/K88*100))</f>
        <v>0</v>
      </c>
      <c r="T88" s="46">
        <f t="shared" si="56"/>
        <v>0</v>
      </c>
      <c r="U88" s="46">
        <f t="shared" si="56"/>
        <v>0</v>
      </c>
      <c r="V88" s="46">
        <f t="shared" ref="V88:Y88" si="57">IF($N88=0,0,IF((O88/$N88*100)&gt;120,120,O88/$N88*100))</f>
        <v>0</v>
      </c>
      <c r="W88" s="46">
        <f t="shared" si="57"/>
        <v>0</v>
      </c>
      <c r="X88" s="46">
        <f t="shared" si="57"/>
        <v>0</v>
      </c>
      <c r="Y88" s="46">
        <f t="shared" si="57"/>
        <v>0</v>
      </c>
    </row>
    <row r="89" ht="16.5" customHeight="1">
      <c r="A89" s="1"/>
      <c r="B89" s="37"/>
      <c r="C89" s="39" t="s">
        <v>93</v>
      </c>
      <c r="D89" s="39"/>
      <c r="E89" s="39"/>
      <c r="F89" s="39"/>
      <c r="G89" s="39"/>
      <c r="H89" s="39"/>
      <c r="I89" s="159">
        <f>'Sub Koordinator Modif'!I83+'Sub Koordinator Modif'!I108+'Sub Koordinator Modif'!I131</f>
        <v>13</v>
      </c>
      <c r="J89" s="133" t="s">
        <v>87</v>
      </c>
      <c r="K89" s="42">
        <f>'Sub Koordinator Modif'!K83+'Sub Koordinator Modif'!K108+'Sub Koordinator Modif'!K131</f>
        <v>3</v>
      </c>
      <c r="L89" s="42">
        <f>'Sub Koordinator Modif'!L83+'Sub Koordinator Modif'!L108+'Sub Koordinator Modif'!L131</f>
        <v>9</v>
      </c>
      <c r="M89" s="42">
        <f>'Sub Koordinator Modif'!M83+'Sub Koordinator Modif'!M108+'Sub Koordinator Modif'!M131</f>
        <v>13</v>
      </c>
      <c r="N89" s="42">
        <f>'Sub Koordinator Modif'!N83+'Sub Koordinator Modif'!N108+'Sub Koordinator Modif'!N131</f>
        <v>18</v>
      </c>
      <c r="O89" s="42">
        <f>'Sub Koordinator Modif'!O83+'Sub Koordinator Modif'!O108+'Sub Koordinator Modif'!O131</f>
        <v>3</v>
      </c>
      <c r="P89" s="42"/>
      <c r="Q89" s="42"/>
      <c r="R89" s="42"/>
      <c r="S89" s="46">
        <f t="shared" ref="S89:U89" si="58">IF(K89=0,0,IF((O89/K89*100)&gt;120,120,O89/K89*100))</f>
        <v>100</v>
      </c>
      <c r="T89" s="46">
        <f t="shared" si="58"/>
        <v>0</v>
      </c>
      <c r="U89" s="46">
        <f t="shared" si="58"/>
        <v>0</v>
      </c>
      <c r="V89" s="46">
        <f t="shared" ref="V89:Y89" si="59">IF($N89=0,0,IF((O89/$N89*100)&gt;120,120,O89/$N89*100))</f>
        <v>16.66666667</v>
      </c>
      <c r="W89" s="46">
        <f t="shared" si="59"/>
        <v>0</v>
      </c>
      <c r="X89" s="46">
        <f t="shared" si="59"/>
        <v>0</v>
      </c>
      <c r="Y89" s="46">
        <f t="shared" si="59"/>
        <v>0</v>
      </c>
    </row>
    <row r="90" ht="14.25" customHeight="1">
      <c r="A90" s="1"/>
      <c r="B90" s="37"/>
      <c r="C90" s="39" t="s">
        <v>94</v>
      </c>
      <c r="D90" s="39"/>
      <c r="E90" s="39"/>
      <c r="F90" s="39"/>
      <c r="G90" s="39"/>
      <c r="H90" s="39"/>
      <c r="I90" s="159">
        <f>'Sub Koordinator Modif'!I84+'Sub Koordinator Modif'!I109+'Sub Koordinator Modif'!I132</f>
        <v>6</v>
      </c>
      <c r="J90" s="133" t="s">
        <v>95</v>
      </c>
      <c r="K90" s="42">
        <f>'Sub Koordinator Modif'!K84+'Sub Koordinator Modif'!K109+'Sub Koordinator Modif'!K132</f>
        <v>2</v>
      </c>
      <c r="L90" s="42">
        <f>'Sub Koordinator Modif'!L84+'Sub Koordinator Modif'!L109+'Sub Koordinator Modif'!L132</f>
        <v>3</v>
      </c>
      <c r="M90" s="42">
        <f>'Sub Koordinator Modif'!M84+'Sub Koordinator Modif'!M109+'Sub Koordinator Modif'!M132</f>
        <v>5</v>
      </c>
      <c r="N90" s="42">
        <f>'Sub Koordinator Modif'!N84+'Sub Koordinator Modif'!N109+'Sub Koordinator Modif'!N132</f>
        <v>6</v>
      </c>
      <c r="O90" s="42">
        <f>'Sub Koordinator Modif'!O84+'Sub Koordinator Modif'!O109+'Sub Koordinator Modif'!O132</f>
        <v>2</v>
      </c>
      <c r="P90" s="42"/>
      <c r="Q90" s="42"/>
      <c r="R90" s="42"/>
      <c r="S90" s="46">
        <f t="shared" ref="S90:U90" si="60">IF(K90=0,0,IF((O90/K90*100)&gt;120,120,O90/K90*100))</f>
        <v>100</v>
      </c>
      <c r="T90" s="46">
        <f t="shared" si="60"/>
        <v>0</v>
      </c>
      <c r="U90" s="46">
        <f t="shared" si="60"/>
        <v>0</v>
      </c>
      <c r="V90" s="46">
        <f t="shared" ref="V90:Y90" si="61">IF($N90=0,0,IF((O90/$N90*100)&gt;120,120,O90/$N90*100))</f>
        <v>33.33333333</v>
      </c>
      <c r="W90" s="46">
        <f t="shared" si="61"/>
        <v>0</v>
      </c>
      <c r="X90" s="46">
        <f t="shared" si="61"/>
        <v>0</v>
      </c>
      <c r="Y90" s="46">
        <f t="shared" si="61"/>
        <v>0</v>
      </c>
    </row>
    <row r="91" ht="14.25" customHeight="1">
      <c r="A91" s="1"/>
      <c r="B91" s="37"/>
      <c r="C91" s="39" t="s">
        <v>96</v>
      </c>
      <c r="D91" s="39"/>
      <c r="E91" s="39"/>
      <c r="F91" s="41"/>
      <c r="G91" s="39"/>
      <c r="H91" s="39"/>
      <c r="I91" s="293">
        <f>('Sub Koordinator Modif'!I85+'Sub Koordinator Modif'!I110+'Sub Koordinator Modif'!I133)/3</f>
        <v>100</v>
      </c>
      <c r="J91" s="133" t="s">
        <v>35</v>
      </c>
      <c r="K91" s="46">
        <f>('Sub Koordinator Modif'!K85+'Sub Koordinator Modif'!K110+'Sub Koordinator Modif'!K133)/3</f>
        <v>0.5753507621</v>
      </c>
      <c r="L91" s="46">
        <f>('Sub Koordinator Modif'!L85+'Sub Koordinator Modif'!L110+'Sub Koordinator Modif'!L133)/3</f>
        <v>79.93742416</v>
      </c>
      <c r="M91" s="46">
        <f>('Sub Koordinator Modif'!M85+'Sub Koordinator Modif'!M110+'Sub Koordinator Modif'!M133)/3</f>
        <v>86.99998428</v>
      </c>
      <c r="N91" s="46">
        <f>('Sub Koordinator Modif'!N85+'Sub Koordinator Modif'!N110+'Sub Koordinator Modif'!N133)/3</f>
        <v>97.7689148</v>
      </c>
      <c r="O91" s="46">
        <f>('Sub Koordinator Modif'!O85+'Sub Koordinator Modif'!O110+'Sub Koordinator Modif'!O133)/3</f>
        <v>0.5805846222</v>
      </c>
      <c r="P91" s="46">
        <f t="shared" ref="P91:R91" si="62">IF(SUM($I92:$I94)=0,0,AVERAGE(IF($I92&gt;0,P92/$I92*100,0),IF($I93&gt;0,P93/$I93*100,0),IF($I94&gt;0,P94/$I94*100,0)))</f>
        <v>0</v>
      </c>
      <c r="Q91" s="46">
        <f t="shared" si="62"/>
        <v>0</v>
      </c>
      <c r="R91" s="46">
        <f t="shared" si="62"/>
        <v>0</v>
      </c>
      <c r="S91" s="46">
        <f t="shared" ref="S91:U91" si="63">IF(K91=0,0,IF((O91/K91*100)&gt;120,120,O91/K91*100))</f>
        <v>100.9096816</v>
      </c>
      <c r="T91" s="46">
        <f t="shared" si="63"/>
        <v>0</v>
      </c>
      <c r="U91" s="46">
        <f t="shared" si="63"/>
        <v>0</v>
      </c>
      <c r="V91" s="46">
        <f t="shared" ref="V91:Y91" si="64">IF($N91=0,0,IF((O91/$N91*100)&gt;120,120,O91/$N91*100))</f>
        <v>0.5938335547</v>
      </c>
      <c r="W91" s="46">
        <f t="shared" si="64"/>
        <v>0</v>
      </c>
      <c r="X91" s="46">
        <f t="shared" si="64"/>
        <v>0</v>
      </c>
      <c r="Y91" s="46">
        <f t="shared" si="64"/>
        <v>0</v>
      </c>
    </row>
    <row r="92" ht="14.25" customHeight="1">
      <c r="A92" s="1"/>
      <c r="B92" s="37"/>
      <c r="C92" s="39"/>
      <c r="D92" s="109" t="s">
        <v>97</v>
      </c>
      <c r="E92" s="39"/>
      <c r="F92" s="41"/>
      <c r="G92" s="39"/>
      <c r="H92" s="39"/>
      <c r="I92" s="162">
        <f>'Sub Koordinator Modif'!I86+'Sub Koordinator Modif'!I111+'Sub Koordinator Modif'!I134</f>
        <v>97823</v>
      </c>
      <c r="J92" s="136" t="s">
        <v>98</v>
      </c>
      <c r="K92" s="42">
        <f>'Sub Koordinator Modif'!K86+'Sub Koordinator Modif'!K111+'Sub Koordinator Modif'!K134</f>
        <v>1539</v>
      </c>
      <c r="L92" s="42">
        <f>'Sub Koordinator Modif'!L86+'Sub Koordinator Modif'!L111+'Sub Koordinator Modif'!L134</f>
        <v>85767</v>
      </c>
      <c r="M92" s="42">
        <f>'Sub Koordinator Modif'!M86+'Sub Koordinator Modif'!M111+'Sub Koordinator Modif'!M134</f>
        <v>91921</v>
      </c>
      <c r="N92" s="42">
        <f>'Sub Koordinator Modif'!N86+'Sub Koordinator Modif'!N111+'Sub Koordinator Modif'!N134</f>
        <v>93460</v>
      </c>
      <c r="O92" s="42">
        <f>'Sub Koordinator Modif'!O86+'Sub Koordinator Modif'!O111+'Sub Koordinator Modif'!O134</f>
        <v>1553</v>
      </c>
      <c r="P92" s="42"/>
      <c r="Q92" s="42"/>
      <c r="R92" s="42"/>
      <c r="S92" s="111"/>
      <c r="T92" s="111"/>
      <c r="U92" s="111"/>
      <c r="V92" s="111"/>
      <c r="W92" s="111"/>
      <c r="X92" s="111"/>
      <c r="Y92" s="111"/>
    </row>
    <row r="93" ht="14.25" customHeight="1">
      <c r="A93" s="1"/>
      <c r="B93" s="37"/>
      <c r="C93" s="39"/>
      <c r="D93" s="109" t="s">
        <v>99</v>
      </c>
      <c r="E93" s="39"/>
      <c r="F93" s="41"/>
      <c r="G93" s="39"/>
      <c r="H93" s="39"/>
      <c r="I93" s="42">
        <v>0.0</v>
      </c>
      <c r="J93" s="136" t="s">
        <v>98</v>
      </c>
      <c r="K93" s="42">
        <v>0.0</v>
      </c>
      <c r="L93" s="42">
        <v>0.0</v>
      </c>
      <c r="M93" s="42">
        <v>0.0</v>
      </c>
      <c r="N93" s="42">
        <v>0.0</v>
      </c>
      <c r="O93" s="42">
        <v>0.0</v>
      </c>
      <c r="P93" s="42"/>
      <c r="Q93" s="42"/>
      <c r="R93" s="42"/>
      <c r="S93" s="111"/>
      <c r="T93" s="111"/>
      <c r="U93" s="111"/>
      <c r="V93" s="111"/>
      <c r="W93" s="111"/>
      <c r="X93" s="111"/>
      <c r="Y93" s="111"/>
    </row>
    <row r="94" ht="14.25" customHeight="1">
      <c r="A94" s="1"/>
      <c r="B94" s="37"/>
      <c r="C94" s="39"/>
      <c r="D94" s="109" t="s">
        <v>100</v>
      </c>
      <c r="E94" s="39"/>
      <c r="F94" s="41"/>
      <c r="G94" s="39"/>
      <c r="H94" s="39"/>
      <c r="I94" s="42">
        <f>'Sub Koordinator Modif'!I137</f>
        <v>21</v>
      </c>
      <c r="J94" s="136" t="s">
        <v>98</v>
      </c>
      <c r="K94" s="42">
        <f>'Sub Koordinator Modif'!K137</f>
        <v>0</v>
      </c>
      <c r="L94" s="42">
        <f>'Sub Koordinator Modif'!L137</f>
        <v>9</v>
      </c>
      <c r="M94" s="42">
        <f>'Sub Koordinator Modif'!M137</f>
        <v>15</v>
      </c>
      <c r="N94" s="42">
        <f>'Sub Koordinator Modif'!N137</f>
        <v>21</v>
      </c>
      <c r="O94" s="42">
        <f>'Sub Koordinator Modif'!O137</f>
        <v>0</v>
      </c>
      <c r="P94" s="42"/>
      <c r="Q94" s="42"/>
      <c r="R94" s="42"/>
      <c r="S94" s="111"/>
      <c r="T94" s="111"/>
      <c r="U94" s="111"/>
      <c r="V94" s="111"/>
      <c r="W94" s="111"/>
      <c r="X94" s="111"/>
      <c r="Y94" s="111"/>
    </row>
    <row r="95" ht="14.25" customHeight="1">
      <c r="A95" s="1"/>
      <c r="B95" s="37"/>
      <c r="C95" s="39" t="s">
        <v>101</v>
      </c>
      <c r="D95" s="39"/>
      <c r="E95" s="39"/>
      <c r="F95" s="41"/>
      <c r="G95" s="39"/>
      <c r="H95" s="39"/>
      <c r="I95" s="293">
        <f>('Sub Koordinator Modif'!I91+'Sub Koordinator Modif'!I114+'Sub Koordinator Modif'!I142)/3</f>
        <v>100</v>
      </c>
      <c r="J95" s="133" t="s">
        <v>35</v>
      </c>
      <c r="K95" s="143">
        <f>('Sub Koordinator Modif'!K91+'Sub Koordinator Modif'!K114+'Sub Koordinator Modif'!K142)/3</f>
        <v>0.5753507621</v>
      </c>
      <c r="L95" s="143">
        <f>('Sub Koordinator Modif'!L91+'Sub Koordinator Modif'!L114+'Sub Koordinator Modif'!L142)/3</f>
        <v>87.16689914</v>
      </c>
      <c r="M95" s="143">
        <f>('Sub Koordinator Modif'!M91+'Sub Koordinator Modif'!M114+'Sub Koordinator Modif'!M142)/3</f>
        <v>90.88599421</v>
      </c>
      <c r="N95" s="143">
        <f>('Sub Koordinator Modif'!N91+'Sub Koordinator Modif'!N114+'Sub Koordinator Modif'!N142)/3</f>
        <v>100</v>
      </c>
      <c r="O95" s="143">
        <f>('Sub Koordinator Modif'!O91+'Sub Koordinator Modif'!O114+'Sub Koordinator Modif'!O142)/3</f>
        <v>0.5805846222</v>
      </c>
      <c r="P95" s="42"/>
      <c r="Q95" s="42"/>
      <c r="R95" s="42"/>
      <c r="S95" s="46">
        <f t="shared" ref="S95:U95" si="65">IF(K95=0,0,IF((O95/K95*100)&gt;120,120,O95/K95*100))</f>
        <v>100.9096816</v>
      </c>
      <c r="T95" s="46">
        <f t="shared" si="65"/>
        <v>0</v>
      </c>
      <c r="U95" s="46">
        <f t="shared" si="65"/>
        <v>0</v>
      </c>
      <c r="V95" s="46">
        <f t="shared" ref="V95:Y95" si="66">IF($N95=0,0,IF((O95/$N95*100)&gt;120,120,O95/$N95*100))</f>
        <v>0.5805846222</v>
      </c>
      <c r="W95" s="46">
        <f t="shared" si="66"/>
        <v>0</v>
      </c>
      <c r="X95" s="46">
        <f t="shared" si="66"/>
        <v>0</v>
      </c>
      <c r="Y95" s="46">
        <f t="shared" si="66"/>
        <v>0</v>
      </c>
    </row>
    <row r="96" ht="14.25" customHeight="1">
      <c r="A96" s="1"/>
      <c r="B96" s="37"/>
      <c r="C96" s="39"/>
      <c r="D96" s="39"/>
      <c r="E96" s="39"/>
      <c r="F96" s="41"/>
      <c r="G96" s="39"/>
      <c r="H96" s="39"/>
      <c r="I96" s="39"/>
      <c r="J96" s="39"/>
      <c r="K96" s="39"/>
      <c r="L96" s="39"/>
      <c r="M96" s="39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39"/>
    </row>
    <row r="97" ht="14.25" customHeight="1">
      <c r="A97" s="1"/>
      <c r="B97" s="144"/>
      <c r="C97" s="145"/>
      <c r="D97" s="146"/>
      <c r="E97" s="146"/>
      <c r="F97" s="146"/>
      <c r="G97" s="147" t="s">
        <v>476</v>
      </c>
      <c r="H97" s="146"/>
      <c r="I97" s="146"/>
      <c r="J97" s="146"/>
      <c r="K97" s="148"/>
      <c r="L97" s="148"/>
      <c r="M97" s="148"/>
      <c r="N97" s="148"/>
      <c r="O97" s="148"/>
      <c r="P97" s="148"/>
      <c r="Q97" s="148"/>
      <c r="R97" s="148"/>
      <c r="S97" s="149">
        <f t="shared" ref="S97:U97" si="67">IF(SUM(K82,K85,K88:K91,K95)&gt;0,SUM(S82,S85,S88:S91,S95)/SUM(COUNTIF(K82,"&gt;0"),COUNTIF(K85,"&gt;0"),COUNTIF(K88:K91,"&gt;0"),COUNTIF(K95,"&gt;0")),0)</f>
        <v>100.3032272</v>
      </c>
      <c r="T97" s="149">
        <f t="shared" si="67"/>
        <v>0</v>
      </c>
      <c r="U97" s="149">
        <f t="shared" si="67"/>
        <v>0</v>
      </c>
      <c r="V97" s="149">
        <f t="shared" ref="V97:Y97" si="68">IF(SUM($N82,$N85,$N88:$N91,$N95)&gt;0,SUM(V82,V85,V88:V91,V95)/SUM(COUNTIF($N82,"&gt;0"),COUNTIF($N85,"&gt;0"),COUNTIF($N88:$N91,"&gt;0"),COUNTIF($N95,"&gt;0")),0)</f>
        <v>12.07253593</v>
      </c>
      <c r="W97" s="149">
        <f t="shared" si="68"/>
        <v>0</v>
      </c>
      <c r="X97" s="149">
        <f t="shared" si="68"/>
        <v>0</v>
      </c>
      <c r="Y97" s="149">
        <f t="shared" si="68"/>
        <v>0</v>
      </c>
    </row>
    <row r="98" ht="14.25" customHeight="1">
      <c r="A98" s="1"/>
    </row>
    <row r="99" ht="14.25" customHeight="1">
      <c r="A99" s="1"/>
    </row>
    <row r="100" ht="14.25" customHeight="1">
      <c r="A100" s="1"/>
      <c r="B100" s="4" t="s">
        <v>103</v>
      </c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6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</row>
    <row r="101" ht="14.25" customHeight="1">
      <c r="A101" s="1"/>
      <c r="B101" s="150" t="s">
        <v>2</v>
      </c>
      <c r="C101" s="8"/>
      <c r="D101" s="8"/>
      <c r="E101" s="8"/>
      <c r="F101" s="8"/>
      <c r="G101" s="8"/>
      <c r="H101" s="119"/>
      <c r="I101" s="151" t="s">
        <v>83</v>
      </c>
      <c r="J101" s="152" t="s">
        <v>3</v>
      </c>
      <c r="K101" s="11"/>
      <c r="L101" s="11"/>
      <c r="M101" s="11"/>
      <c r="N101" s="11"/>
      <c r="O101" s="11"/>
      <c r="P101" s="11"/>
      <c r="Q101" s="11"/>
      <c r="R101" s="12"/>
      <c r="S101" s="152" t="s">
        <v>4</v>
      </c>
      <c r="T101" s="11"/>
      <c r="U101" s="11"/>
      <c r="V101" s="11"/>
      <c r="W101" s="11"/>
      <c r="X101" s="11"/>
      <c r="Y101" s="12"/>
    </row>
    <row r="102" ht="15.0" customHeight="1">
      <c r="A102" s="1"/>
      <c r="B102" s="13"/>
      <c r="H102" s="122"/>
      <c r="I102" s="123"/>
      <c r="J102" s="153" t="s">
        <v>5</v>
      </c>
      <c r="K102" s="154" t="s">
        <v>6</v>
      </c>
      <c r="L102" s="17"/>
      <c r="M102" s="17"/>
      <c r="N102" s="18"/>
      <c r="O102" s="154" t="s">
        <v>7</v>
      </c>
      <c r="P102" s="17"/>
      <c r="Q102" s="17"/>
      <c r="R102" s="18"/>
      <c r="S102" s="154" t="s">
        <v>8</v>
      </c>
      <c r="T102" s="17"/>
      <c r="U102" s="18"/>
      <c r="V102" s="154" t="s">
        <v>9</v>
      </c>
      <c r="W102" s="17"/>
      <c r="X102" s="17"/>
      <c r="Y102" s="18"/>
    </row>
    <row r="103" ht="14.25" customHeight="1">
      <c r="A103" s="1"/>
      <c r="B103" s="19"/>
      <c r="C103" s="20"/>
      <c r="D103" s="20"/>
      <c r="E103" s="20"/>
      <c r="F103" s="20"/>
      <c r="G103" s="20"/>
      <c r="H103" s="126"/>
      <c r="I103" s="22"/>
      <c r="J103" s="22"/>
      <c r="K103" s="155" t="s">
        <v>10</v>
      </c>
      <c r="L103" s="155" t="s">
        <v>11</v>
      </c>
      <c r="M103" s="155" t="s">
        <v>12</v>
      </c>
      <c r="N103" s="155" t="s">
        <v>13</v>
      </c>
      <c r="O103" s="155" t="s">
        <v>10</v>
      </c>
      <c r="P103" s="155" t="s">
        <v>11</v>
      </c>
      <c r="Q103" s="155" t="s">
        <v>12</v>
      </c>
      <c r="R103" s="155" t="s">
        <v>13</v>
      </c>
      <c r="S103" s="155" t="s">
        <v>10</v>
      </c>
      <c r="T103" s="155" t="s">
        <v>11</v>
      </c>
      <c r="U103" s="155" t="s">
        <v>12</v>
      </c>
      <c r="V103" s="155" t="s">
        <v>10</v>
      </c>
      <c r="W103" s="155" t="s">
        <v>11</v>
      </c>
      <c r="X103" s="155" t="s">
        <v>12</v>
      </c>
      <c r="Y103" s="156" t="s">
        <v>13</v>
      </c>
      <c r="Z103" s="25"/>
    </row>
    <row r="104" ht="14.25" customHeight="1">
      <c r="A104" s="1"/>
      <c r="B104" s="157">
        <v>-1.0</v>
      </c>
      <c r="C104" s="27"/>
      <c r="D104" s="27"/>
      <c r="E104" s="27"/>
      <c r="F104" s="27"/>
      <c r="G104" s="27"/>
      <c r="H104" s="130"/>
      <c r="I104" s="158">
        <v>-2.0</v>
      </c>
      <c r="J104" s="158">
        <v>-3.0</v>
      </c>
      <c r="K104" s="158">
        <v>-4.0</v>
      </c>
      <c r="L104" s="158">
        <v>-5.0</v>
      </c>
      <c r="M104" s="158">
        <v>-6.0</v>
      </c>
      <c r="N104" s="158">
        <v>-7.0</v>
      </c>
      <c r="O104" s="158">
        <v>-8.0</v>
      </c>
      <c r="P104" s="158">
        <v>-9.0</v>
      </c>
      <c r="Q104" s="158">
        <v>-10.0</v>
      </c>
      <c r="R104" s="158">
        <v>-11.0</v>
      </c>
      <c r="S104" s="158">
        <v>-12.0</v>
      </c>
      <c r="T104" s="158">
        <v>-13.0</v>
      </c>
      <c r="U104" s="158">
        <v>-14.0</v>
      </c>
      <c r="V104" s="158">
        <v>-15.0</v>
      </c>
      <c r="W104" s="158">
        <v>-16.0</v>
      </c>
      <c r="X104" s="158">
        <v>-17.0</v>
      </c>
      <c r="Y104" s="158">
        <v>-18.0</v>
      </c>
      <c r="Z104" s="25"/>
    </row>
    <row r="105" ht="14.25" customHeight="1">
      <c r="A105" s="1"/>
      <c r="B105" s="32"/>
      <c r="C105" s="33"/>
      <c r="D105" s="33"/>
      <c r="E105" s="33"/>
      <c r="F105" s="34"/>
      <c r="G105" s="35"/>
      <c r="H105" s="35"/>
      <c r="I105" s="35"/>
      <c r="J105" s="35"/>
      <c r="K105" s="35"/>
      <c r="L105" s="35"/>
      <c r="M105" s="35"/>
      <c r="N105" s="102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</row>
    <row r="106" ht="14.25" customHeight="1">
      <c r="A106" s="1"/>
      <c r="B106" s="37"/>
      <c r="C106" s="39" t="s">
        <v>104</v>
      </c>
      <c r="D106" s="39"/>
      <c r="E106" s="39"/>
      <c r="F106" s="39"/>
      <c r="G106" s="39"/>
      <c r="H106" s="39"/>
      <c r="I106" s="159"/>
      <c r="J106" s="103" t="s">
        <v>85</v>
      </c>
      <c r="K106" s="39">
        <f t="shared" ref="K106:R106" si="69">SUM(K107:K108)</f>
        <v>0</v>
      </c>
      <c r="L106" s="39">
        <f t="shared" si="69"/>
        <v>0</v>
      </c>
      <c r="M106" s="60">
        <f t="shared" si="69"/>
        <v>0</v>
      </c>
      <c r="N106" s="160">
        <f t="shared" si="69"/>
        <v>0</v>
      </c>
      <c r="O106" s="62">
        <f t="shared" si="69"/>
        <v>0</v>
      </c>
      <c r="P106" s="39">
        <f t="shared" si="69"/>
        <v>0</v>
      </c>
      <c r="Q106" s="39">
        <f t="shared" si="69"/>
        <v>0</v>
      </c>
      <c r="R106" s="39">
        <f t="shared" si="69"/>
        <v>0</v>
      </c>
      <c r="S106" s="46">
        <f t="shared" ref="S106:U106" si="70">IF(K106=0,0,IF((O106/K106*100)&gt;120,120,O106/K106*100))</f>
        <v>0</v>
      </c>
      <c r="T106" s="46">
        <f t="shared" si="70"/>
        <v>0</v>
      </c>
      <c r="U106" s="46">
        <f t="shared" si="70"/>
        <v>0</v>
      </c>
      <c r="V106" s="46">
        <f t="shared" ref="V106:Y106" si="71">IF($N106=0,0,IF((O106/$N106*100)&gt;120,120,O106/$N106*100))</f>
        <v>0</v>
      </c>
      <c r="W106" s="46">
        <f t="shared" si="71"/>
        <v>0</v>
      </c>
      <c r="X106" s="46">
        <f t="shared" si="71"/>
        <v>0</v>
      </c>
      <c r="Y106" s="46">
        <f t="shared" si="71"/>
        <v>0</v>
      </c>
    </row>
    <row r="107" ht="14.25" customHeight="1">
      <c r="A107" s="1"/>
      <c r="B107" s="37"/>
      <c r="C107" s="39"/>
      <c r="D107" s="109" t="s">
        <v>105</v>
      </c>
      <c r="E107" s="39"/>
      <c r="F107" s="39"/>
      <c r="G107" s="39"/>
      <c r="H107" s="39"/>
      <c r="I107" s="159"/>
      <c r="J107" s="110" t="s">
        <v>87</v>
      </c>
      <c r="K107" s="42"/>
      <c r="L107" s="42"/>
      <c r="M107" s="42"/>
      <c r="N107" s="42"/>
      <c r="O107" s="42"/>
      <c r="P107" s="42"/>
      <c r="Q107" s="42"/>
      <c r="R107" s="42"/>
      <c r="S107" s="46">
        <f t="shared" ref="S107:U107" si="72">IF(K107=0,0,IF((O107/K107*100)&gt;120,120,O107/K107*100))</f>
        <v>0</v>
      </c>
      <c r="T107" s="46">
        <f t="shared" si="72"/>
        <v>0</v>
      </c>
      <c r="U107" s="46">
        <f t="shared" si="72"/>
        <v>0</v>
      </c>
      <c r="V107" s="46">
        <f t="shared" ref="V107:Y107" si="73">IF($N107=0,0,IF((O107/$N107*100)&gt;120,120,O107/$N107*100))</f>
        <v>0</v>
      </c>
      <c r="W107" s="46">
        <f t="shared" si="73"/>
        <v>0</v>
      </c>
      <c r="X107" s="46">
        <f t="shared" si="73"/>
        <v>0</v>
      </c>
      <c r="Y107" s="46">
        <f t="shared" si="73"/>
        <v>0</v>
      </c>
    </row>
    <row r="108" ht="14.25" customHeight="1">
      <c r="A108" s="1"/>
      <c r="B108" s="37"/>
      <c r="C108" s="39"/>
      <c r="D108" s="109" t="s">
        <v>106</v>
      </c>
      <c r="E108" s="39"/>
      <c r="F108" s="39"/>
      <c r="G108" s="39"/>
      <c r="H108" s="39"/>
      <c r="I108" s="159"/>
      <c r="J108" s="110" t="s">
        <v>66</v>
      </c>
      <c r="K108" s="42"/>
      <c r="L108" s="42"/>
      <c r="M108" s="42"/>
      <c r="N108" s="42"/>
      <c r="O108" s="42"/>
      <c r="P108" s="42"/>
      <c r="Q108" s="42"/>
      <c r="R108" s="42"/>
      <c r="S108" s="46">
        <f t="shared" ref="S108:U108" si="74">IF(K108=0,0,IF((O108/K108*100)&gt;120,120,O108/K108*100))</f>
        <v>0</v>
      </c>
      <c r="T108" s="46">
        <f t="shared" si="74"/>
        <v>0</v>
      </c>
      <c r="U108" s="46">
        <f t="shared" si="74"/>
        <v>0</v>
      </c>
      <c r="V108" s="46">
        <f t="shared" ref="V108:Y108" si="75">IF($N108=0,0,IF((O108/$N108*100)&gt;120,120,O108/$N108*100))</f>
        <v>0</v>
      </c>
      <c r="W108" s="46">
        <f t="shared" si="75"/>
        <v>0</v>
      </c>
      <c r="X108" s="46">
        <f t="shared" si="75"/>
        <v>0</v>
      </c>
      <c r="Y108" s="46">
        <f t="shared" si="75"/>
        <v>0</v>
      </c>
    </row>
    <row r="109" ht="14.25" customHeight="1">
      <c r="A109" s="1"/>
      <c r="B109" s="37"/>
      <c r="C109" s="39" t="s">
        <v>107</v>
      </c>
      <c r="D109" s="39"/>
      <c r="E109" s="39"/>
      <c r="F109" s="39"/>
      <c r="G109" s="39"/>
      <c r="H109" s="39"/>
      <c r="I109" s="159"/>
      <c r="J109" s="103" t="s">
        <v>85</v>
      </c>
      <c r="K109" s="39">
        <f t="shared" ref="K109:R109" si="76">SUM(K110:K111)</f>
        <v>0</v>
      </c>
      <c r="L109" s="39">
        <f t="shared" si="76"/>
        <v>0</v>
      </c>
      <c r="M109" s="60">
        <f t="shared" si="76"/>
        <v>0</v>
      </c>
      <c r="N109" s="160">
        <f t="shared" si="76"/>
        <v>0</v>
      </c>
      <c r="O109" s="62">
        <f t="shared" si="76"/>
        <v>0</v>
      </c>
      <c r="P109" s="39">
        <f t="shared" si="76"/>
        <v>0</v>
      </c>
      <c r="Q109" s="39">
        <f t="shared" si="76"/>
        <v>0</v>
      </c>
      <c r="R109" s="39">
        <f t="shared" si="76"/>
        <v>0</v>
      </c>
      <c r="S109" s="46">
        <f t="shared" ref="S109:U109" si="77">IF(K109=0,0,IF((O109/K109*100)&gt;120,120,O109/K109*100))</f>
        <v>0</v>
      </c>
      <c r="T109" s="46">
        <f t="shared" si="77"/>
        <v>0</v>
      </c>
      <c r="U109" s="46">
        <f t="shared" si="77"/>
        <v>0</v>
      </c>
      <c r="V109" s="46">
        <f t="shared" ref="V109:Y109" si="78">IF($N109=0,0,IF((O109/$N109*100)&gt;120,120,O109/$N109*100))</f>
        <v>0</v>
      </c>
      <c r="W109" s="46">
        <f t="shared" si="78"/>
        <v>0</v>
      </c>
      <c r="X109" s="46">
        <f t="shared" si="78"/>
        <v>0</v>
      </c>
      <c r="Y109" s="46">
        <f t="shared" si="78"/>
        <v>0</v>
      </c>
    </row>
    <row r="110" ht="14.25" customHeight="1">
      <c r="A110" s="1"/>
      <c r="B110" s="37"/>
      <c r="C110" s="39"/>
      <c r="D110" s="109" t="s">
        <v>108</v>
      </c>
      <c r="E110" s="39"/>
      <c r="F110" s="39"/>
      <c r="G110" s="39"/>
      <c r="H110" s="39"/>
      <c r="I110" s="159"/>
      <c r="J110" s="110" t="s">
        <v>87</v>
      </c>
      <c r="K110" s="42"/>
      <c r="L110" s="42"/>
      <c r="M110" s="42"/>
      <c r="N110" s="42"/>
      <c r="O110" s="42"/>
      <c r="P110" s="42"/>
      <c r="Q110" s="42"/>
      <c r="R110" s="42"/>
      <c r="S110" s="46">
        <f t="shared" ref="S110:U110" si="79">IF(K110=0,0,IF((O110/K110*100)&gt;120,120,O110/K110*100))</f>
        <v>0</v>
      </c>
      <c r="T110" s="46">
        <f t="shared" si="79"/>
        <v>0</v>
      </c>
      <c r="U110" s="46">
        <f t="shared" si="79"/>
        <v>0</v>
      </c>
      <c r="V110" s="46">
        <f t="shared" ref="V110:Y110" si="80">IF($N110=0,0,IF((O110/$N110*100)&gt;120,120,O110/$N110*100))</f>
        <v>0</v>
      </c>
      <c r="W110" s="46">
        <f t="shared" si="80"/>
        <v>0</v>
      </c>
      <c r="X110" s="46">
        <f t="shared" si="80"/>
        <v>0</v>
      </c>
      <c r="Y110" s="46">
        <f t="shared" si="80"/>
        <v>0</v>
      </c>
    </row>
    <row r="111" ht="14.25" customHeight="1">
      <c r="A111" s="1"/>
      <c r="B111" s="37"/>
      <c r="C111" s="39"/>
      <c r="D111" s="109" t="s">
        <v>109</v>
      </c>
      <c r="E111" s="39"/>
      <c r="F111" s="39"/>
      <c r="G111" s="39"/>
      <c r="H111" s="39"/>
      <c r="I111" s="159"/>
      <c r="J111" s="110" t="s">
        <v>66</v>
      </c>
      <c r="K111" s="42"/>
      <c r="L111" s="42"/>
      <c r="M111" s="42"/>
      <c r="N111" s="42"/>
      <c r="O111" s="42"/>
      <c r="P111" s="42"/>
      <c r="Q111" s="42"/>
      <c r="R111" s="42"/>
      <c r="S111" s="46">
        <f t="shared" ref="S111:U111" si="81">IF(K111=0,0,IF((O111/K111*100)&gt;120,120,O111/K111*100))</f>
        <v>0</v>
      </c>
      <c r="T111" s="46">
        <f t="shared" si="81"/>
        <v>0</v>
      </c>
      <c r="U111" s="46">
        <f t="shared" si="81"/>
        <v>0</v>
      </c>
      <c r="V111" s="46">
        <f t="shared" ref="V111:Y111" si="82">IF($N111=0,0,IF((O111/$N111*100)&gt;120,120,O111/$N111*100))</f>
        <v>0</v>
      </c>
      <c r="W111" s="46">
        <f t="shared" si="82"/>
        <v>0</v>
      </c>
      <c r="X111" s="46">
        <f t="shared" si="82"/>
        <v>0</v>
      </c>
      <c r="Y111" s="46">
        <f t="shared" si="82"/>
        <v>0</v>
      </c>
    </row>
    <row r="112" ht="16.5" customHeight="1">
      <c r="A112" s="1"/>
      <c r="B112" s="37"/>
      <c r="C112" s="39" t="s">
        <v>110</v>
      </c>
      <c r="D112" s="39"/>
      <c r="E112" s="39"/>
      <c r="F112" s="39"/>
      <c r="G112" s="39"/>
      <c r="H112" s="39"/>
      <c r="I112" s="159"/>
      <c r="J112" s="103" t="s">
        <v>87</v>
      </c>
      <c r="K112" s="42"/>
      <c r="L112" s="42"/>
      <c r="M112" s="42"/>
      <c r="N112" s="42"/>
      <c r="O112" s="42"/>
      <c r="P112" s="42"/>
      <c r="Q112" s="42"/>
      <c r="R112" s="42"/>
      <c r="S112" s="46">
        <f t="shared" ref="S112:U112" si="83">IF(K112=0,0,IF((O112/K112*100)&gt;120,120,O112/K112*100))</f>
        <v>0</v>
      </c>
      <c r="T112" s="46">
        <f t="shared" si="83"/>
        <v>0</v>
      </c>
      <c r="U112" s="46">
        <f t="shared" si="83"/>
        <v>0</v>
      </c>
      <c r="V112" s="46">
        <f t="shared" ref="V112:Y112" si="84">IF($N112=0,0,IF((O112/$N112*100)&gt;120,120,O112/$N112*100))</f>
        <v>0</v>
      </c>
      <c r="W112" s="46">
        <f t="shared" si="84"/>
        <v>0</v>
      </c>
      <c r="X112" s="46">
        <f t="shared" si="84"/>
        <v>0</v>
      </c>
      <c r="Y112" s="46">
        <f t="shared" si="84"/>
        <v>0</v>
      </c>
    </row>
    <row r="113" ht="14.25" customHeight="1">
      <c r="A113" s="1"/>
      <c r="B113" s="37"/>
      <c r="C113" s="39" t="s">
        <v>111</v>
      </c>
      <c r="D113" s="39"/>
      <c r="E113" s="39"/>
      <c r="F113" s="39"/>
      <c r="G113" s="39"/>
      <c r="H113" s="39"/>
      <c r="I113" s="159"/>
      <c r="J113" s="103" t="s">
        <v>95</v>
      </c>
      <c r="K113" s="42"/>
      <c r="L113" s="42"/>
      <c r="M113" s="42"/>
      <c r="N113" s="42"/>
      <c r="O113" s="42"/>
      <c r="P113" s="42"/>
      <c r="Q113" s="42"/>
      <c r="R113" s="42"/>
      <c r="S113" s="46">
        <f t="shared" ref="S113:U113" si="85">IF(K113=0,0,IF((O113/K113*100)&gt;120,120,O113/K113*100))</f>
        <v>0</v>
      </c>
      <c r="T113" s="46">
        <f t="shared" si="85"/>
        <v>0</v>
      </c>
      <c r="U113" s="46">
        <f t="shared" si="85"/>
        <v>0</v>
      </c>
      <c r="V113" s="46">
        <f t="shared" ref="V113:Y113" si="86">IF($N113=0,0,IF((O113/$N113*100)&gt;120,120,O113/$N113*100))</f>
        <v>0</v>
      </c>
      <c r="W113" s="46">
        <f t="shared" si="86"/>
        <v>0</v>
      </c>
      <c r="X113" s="46">
        <f t="shared" si="86"/>
        <v>0</v>
      </c>
      <c r="Y113" s="46">
        <f t="shared" si="86"/>
        <v>0</v>
      </c>
    </row>
    <row r="114" ht="14.25" customHeight="1">
      <c r="A114" s="1"/>
      <c r="B114" s="37"/>
      <c r="C114" s="39" t="s">
        <v>112</v>
      </c>
      <c r="D114" s="39"/>
      <c r="E114" s="39"/>
      <c r="F114" s="41"/>
      <c r="G114" s="39"/>
      <c r="H114" s="39"/>
      <c r="I114" s="159"/>
      <c r="J114" s="103" t="s">
        <v>35</v>
      </c>
      <c r="K114" s="46">
        <f t="shared" ref="K114:R114" si="87">IF(SUM($I115:$I117)=0,0,AVERAGE(IF($I115&gt;0,K115/$I115*100,0),IF($I116&gt;0,K116/$I116*100,0),IF($I117&gt;0,K117/$I117*100,0)))</f>
        <v>0</v>
      </c>
      <c r="L114" s="46">
        <f t="shared" si="87"/>
        <v>0</v>
      </c>
      <c r="M114" s="375">
        <f t="shared" si="87"/>
        <v>0</v>
      </c>
      <c r="N114" s="376">
        <f t="shared" si="87"/>
        <v>0</v>
      </c>
      <c r="O114" s="377">
        <f t="shared" si="87"/>
        <v>0</v>
      </c>
      <c r="P114" s="46">
        <f t="shared" si="87"/>
        <v>0</v>
      </c>
      <c r="Q114" s="46">
        <f t="shared" si="87"/>
        <v>0</v>
      </c>
      <c r="R114" s="46">
        <f t="shared" si="87"/>
        <v>0</v>
      </c>
      <c r="S114" s="46">
        <f t="shared" ref="S114:U114" si="88">IF(K114=0,0,IF((O114/K114*100)&gt;120,120,O114/K114*100))</f>
        <v>0</v>
      </c>
      <c r="T114" s="46">
        <f t="shared" si="88"/>
        <v>0</v>
      </c>
      <c r="U114" s="46">
        <f t="shared" si="88"/>
        <v>0</v>
      </c>
      <c r="V114" s="46">
        <f t="shared" ref="V114:Y114" si="89">IF($N114=0,0,IF((O114/$N114*100)&gt;120,120,O114/$N114*100))</f>
        <v>0</v>
      </c>
      <c r="W114" s="46">
        <f t="shared" si="89"/>
        <v>0</v>
      </c>
      <c r="X114" s="46">
        <f t="shared" si="89"/>
        <v>0</v>
      </c>
      <c r="Y114" s="46">
        <f t="shared" si="89"/>
        <v>0</v>
      </c>
    </row>
    <row r="115" ht="14.25" customHeight="1">
      <c r="A115" s="1"/>
      <c r="B115" s="37"/>
      <c r="C115" s="39"/>
      <c r="D115" s="109" t="s">
        <v>113</v>
      </c>
      <c r="E115" s="39"/>
      <c r="F115" s="41"/>
      <c r="G115" s="39"/>
      <c r="H115" s="39"/>
      <c r="I115" s="42"/>
      <c r="J115" s="110" t="s">
        <v>98</v>
      </c>
      <c r="K115" s="42"/>
      <c r="L115" s="42"/>
      <c r="M115" s="42"/>
      <c r="N115" s="42"/>
      <c r="O115" s="42"/>
      <c r="P115" s="42"/>
      <c r="Q115" s="42"/>
      <c r="R115" s="42"/>
      <c r="S115" s="111"/>
      <c r="T115" s="111"/>
      <c r="U115" s="111"/>
      <c r="V115" s="111"/>
      <c r="W115" s="111"/>
      <c r="X115" s="111"/>
      <c r="Y115" s="111"/>
    </row>
    <row r="116" ht="14.25" customHeight="1">
      <c r="A116" s="1"/>
      <c r="B116" s="37"/>
      <c r="C116" s="39"/>
      <c r="D116" s="109" t="s">
        <v>114</v>
      </c>
      <c r="E116" s="39"/>
      <c r="F116" s="41"/>
      <c r="G116" s="39"/>
      <c r="H116" s="39"/>
      <c r="I116" s="42"/>
      <c r="J116" s="110" t="s">
        <v>98</v>
      </c>
      <c r="K116" s="42"/>
      <c r="L116" s="42"/>
      <c r="M116" s="42"/>
      <c r="N116" s="42"/>
      <c r="O116" s="42"/>
      <c r="P116" s="42"/>
      <c r="Q116" s="42"/>
      <c r="R116" s="42"/>
      <c r="S116" s="111"/>
      <c r="T116" s="111"/>
      <c r="U116" s="111"/>
      <c r="V116" s="111"/>
      <c r="W116" s="111"/>
      <c r="X116" s="111"/>
      <c r="Y116" s="111"/>
    </row>
    <row r="117" ht="14.25" customHeight="1">
      <c r="A117" s="1"/>
      <c r="B117" s="37"/>
      <c r="C117" s="39"/>
      <c r="D117" s="109" t="s">
        <v>115</v>
      </c>
      <c r="E117" s="39"/>
      <c r="F117" s="41"/>
      <c r="G117" s="39"/>
      <c r="H117" s="39"/>
      <c r="I117" s="42"/>
      <c r="J117" s="110" t="s">
        <v>98</v>
      </c>
      <c r="K117" s="42"/>
      <c r="L117" s="42"/>
      <c r="M117" s="42"/>
      <c r="N117" s="42"/>
      <c r="O117" s="42"/>
      <c r="P117" s="42"/>
      <c r="Q117" s="42"/>
      <c r="R117" s="42"/>
      <c r="S117" s="111"/>
      <c r="T117" s="111"/>
      <c r="U117" s="111"/>
      <c r="V117" s="111"/>
      <c r="W117" s="111"/>
      <c r="X117" s="111"/>
      <c r="Y117" s="111"/>
    </row>
    <row r="118" ht="14.25" customHeight="1">
      <c r="A118" s="1"/>
      <c r="B118" s="37"/>
      <c r="C118" s="39" t="s">
        <v>116</v>
      </c>
      <c r="D118" s="39"/>
      <c r="E118" s="39"/>
      <c r="F118" s="41"/>
      <c r="G118" s="39"/>
      <c r="H118" s="39"/>
      <c r="I118" s="159"/>
      <c r="J118" s="103" t="s">
        <v>35</v>
      </c>
      <c r="K118" s="42"/>
      <c r="L118" s="42"/>
      <c r="M118" s="42"/>
      <c r="N118" s="42"/>
      <c r="O118" s="42"/>
      <c r="P118" s="42"/>
      <c r="Q118" s="42"/>
      <c r="R118" s="42"/>
      <c r="S118" s="46">
        <f t="shared" ref="S118:U118" si="90">IF(K118=0,0,IF((O118/K118*100)&gt;120,120,O118/K118*100))</f>
        <v>0</v>
      </c>
      <c r="T118" s="46">
        <f t="shared" si="90"/>
        <v>0</v>
      </c>
      <c r="U118" s="46">
        <f t="shared" si="90"/>
        <v>0</v>
      </c>
      <c r="V118" s="46">
        <f t="shared" ref="V118:Y118" si="91">IF($N118=0,0,IF((O118/$N118*100)&gt;120,120,O118/$N118*100))</f>
        <v>0</v>
      </c>
      <c r="W118" s="46">
        <f t="shared" si="91"/>
        <v>0</v>
      </c>
      <c r="X118" s="46">
        <f t="shared" si="91"/>
        <v>0</v>
      </c>
      <c r="Y118" s="46">
        <f t="shared" si="91"/>
        <v>0</v>
      </c>
    </row>
    <row r="119" ht="14.25" customHeight="1">
      <c r="A119" s="1"/>
      <c r="B119" s="37"/>
      <c r="C119" s="39"/>
      <c r="D119" s="39"/>
      <c r="E119" s="39"/>
      <c r="F119" s="41"/>
      <c r="G119" s="39"/>
      <c r="H119" s="39"/>
      <c r="I119" s="39"/>
      <c r="J119" s="39"/>
      <c r="K119" s="39"/>
      <c r="L119" s="39"/>
      <c r="M119" s="39"/>
      <c r="N119" s="77"/>
      <c r="O119" s="39"/>
      <c r="P119" s="39"/>
      <c r="Q119" s="39"/>
      <c r="R119" s="39"/>
      <c r="S119" s="39"/>
      <c r="T119" s="39"/>
      <c r="U119" s="39"/>
      <c r="V119" s="39"/>
      <c r="W119" s="39"/>
      <c r="X119" s="39"/>
      <c r="Y119" s="39"/>
    </row>
    <row r="120" ht="14.25" customHeight="1">
      <c r="A120" s="1"/>
      <c r="B120" s="163"/>
      <c r="C120" s="164"/>
      <c r="D120" s="165"/>
      <c r="E120" s="165"/>
      <c r="F120" s="165"/>
      <c r="G120" s="166" t="s">
        <v>477</v>
      </c>
      <c r="H120" s="165"/>
      <c r="I120" s="165"/>
      <c r="J120" s="165"/>
      <c r="K120" s="167"/>
      <c r="L120" s="167"/>
      <c r="M120" s="167"/>
      <c r="N120" s="167"/>
      <c r="O120" s="167"/>
      <c r="P120" s="167"/>
      <c r="Q120" s="167"/>
      <c r="R120" s="167"/>
      <c r="S120" s="168">
        <f t="shared" ref="S120:U120" si="92">IF(SUM(K106,K109,K112:K114,K118)&gt;0,SUM(S106,S109,S112:S114,S118)/SUM(COUNTIF(K106,"&gt;0"),COUNTIF(K109,"&gt;0"),COUNTIF(K112:K114,"&gt;0"),COUNTIF(K118,"&gt;0")),0)</f>
        <v>0</v>
      </c>
      <c r="T120" s="168">
        <f t="shared" si="92"/>
        <v>0</v>
      </c>
      <c r="U120" s="168">
        <f t="shared" si="92"/>
        <v>0</v>
      </c>
      <c r="V120" s="168">
        <f t="shared" ref="V120:Y120" si="93">IF(SUM($N106,$N109,$N112:$N114,$N118)&gt;0,SUM(V106,V109,V112:V114,V118)/SUM(COUNTIF($N106,"&gt;0"),COUNTIF($N109,"&gt;0"),COUNTIF($N112:$N114,"&gt;0"),COUNTIF($N118,"&gt;0")),0)</f>
        <v>0</v>
      </c>
      <c r="W120" s="168">
        <f t="shared" si="93"/>
        <v>0</v>
      </c>
      <c r="X120" s="168">
        <f t="shared" si="93"/>
        <v>0</v>
      </c>
      <c r="Y120" s="168">
        <f t="shared" si="93"/>
        <v>0</v>
      </c>
    </row>
    <row r="121" ht="14.25" customHeight="1">
      <c r="A121" s="1"/>
    </row>
    <row r="122" ht="14.25" customHeight="1">
      <c r="A122" s="1"/>
    </row>
    <row r="123" ht="14.25" customHeight="1">
      <c r="A123" s="1"/>
      <c r="B123" s="4" t="s">
        <v>118</v>
      </c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6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</row>
    <row r="124" ht="15.75" customHeight="1">
      <c r="A124" s="1"/>
      <c r="B124" s="169" t="s">
        <v>2</v>
      </c>
      <c r="C124" s="8"/>
      <c r="D124" s="8"/>
      <c r="E124" s="8"/>
      <c r="F124" s="8"/>
      <c r="G124" s="8"/>
      <c r="H124" s="119"/>
      <c r="I124" s="170" t="s">
        <v>83</v>
      </c>
      <c r="J124" s="171" t="s">
        <v>3</v>
      </c>
      <c r="K124" s="11"/>
      <c r="L124" s="11"/>
      <c r="M124" s="11"/>
      <c r="N124" s="11"/>
      <c r="O124" s="11"/>
      <c r="P124" s="11"/>
      <c r="Q124" s="11"/>
      <c r="R124" s="12"/>
      <c r="S124" s="171" t="s">
        <v>4</v>
      </c>
      <c r="T124" s="11"/>
      <c r="U124" s="11"/>
      <c r="V124" s="11"/>
      <c r="W124" s="11"/>
      <c r="X124" s="11"/>
      <c r="Y124" s="12"/>
    </row>
    <row r="125" ht="15.0" customHeight="1">
      <c r="A125" s="1"/>
      <c r="B125" s="13"/>
      <c r="H125" s="122"/>
      <c r="I125" s="123"/>
      <c r="J125" s="172" t="s">
        <v>5</v>
      </c>
      <c r="K125" s="173" t="s">
        <v>6</v>
      </c>
      <c r="L125" s="17"/>
      <c r="M125" s="17"/>
      <c r="N125" s="18"/>
      <c r="O125" s="173" t="s">
        <v>7</v>
      </c>
      <c r="P125" s="17"/>
      <c r="Q125" s="17"/>
      <c r="R125" s="18"/>
      <c r="S125" s="173" t="s">
        <v>8</v>
      </c>
      <c r="T125" s="17"/>
      <c r="U125" s="18"/>
      <c r="V125" s="173" t="s">
        <v>9</v>
      </c>
      <c r="W125" s="17"/>
      <c r="X125" s="17"/>
      <c r="Y125" s="18"/>
    </row>
    <row r="126" ht="14.25" customHeight="1">
      <c r="A126" s="1"/>
      <c r="B126" s="19"/>
      <c r="C126" s="20"/>
      <c r="D126" s="20"/>
      <c r="E126" s="20"/>
      <c r="F126" s="20"/>
      <c r="G126" s="20"/>
      <c r="H126" s="126"/>
      <c r="I126" s="22"/>
      <c r="J126" s="22"/>
      <c r="K126" s="174" t="s">
        <v>10</v>
      </c>
      <c r="L126" s="174" t="s">
        <v>11</v>
      </c>
      <c r="M126" s="174" t="s">
        <v>12</v>
      </c>
      <c r="N126" s="174" t="s">
        <v>13</v>
      </c>
      <c r="O126" s="174" t="s">
        <v>10</v>
      </c>
      <c r="P126" s="174" t="s">
        <v>11</v>
      </c>
      <c r="Q126" s="174" t="s">
        <v>12</v>
      </c>
      <c r="R126" s="174" t="s">
        <v>13</v>
      </c>
      <c r="S126" s="174" t="s">
        <v>10</v>
      </c>
      <c r="T126" s="174" t="s">
        <v>11</v>
      </c>
      <c r="U126" s="174" t="s">
        <v>12</v>
      </c>
      <c r="V126" s="174" t="s">
        <v>10</v>
      </c>
      <c r="W126" s="174" t="s">
        <v>11</v>
      </c>
      <c r="X126" s="174" t="s">
        <v>12</v>
      </c>
      <c r="Y126" s="175" t="s">
        <v>13</v>
      </c>
      <c r="Z126" s="25"/>
    </row>
    <row r="127" ht="14.25" customHeight="1">
      <c r="A127" s="1"/>
      <c r="B127" s="176">
        <v>-1.0</v>
      </c>
      <c r="C127" s="27"/>
      <c r="D127" s="27"/>
      <c r="E127" s="27"/>
      <c r="F127" s="27"/>
      <c r="G127" s="27"/>
      <c r="H127" s="130"/>
      <c r="I127" s="177">
        <v>-2.0</v>
      </c>
      <c r="J127" s="177">
        <v>-3.0</v>
      </c>
      <c r="K127" s="177">
        <v>-4.0</v>
      </c>
      <c r="L127" s="177">
        <v>-5.0</v>
      </c>
      <c r="M127" s="177">
        <v>-6.0</v>
      </c>
      <c r="N127" s="177">
        <v>-7.0</v>
      </c>
      <c r="O127" s="177">
        <v>-8.0</v>
      </c>
      <c r="P127" s="177">
        <v>-9.0</v>
      </c>
      <c r="Q127" s="177">
        <v>-10.0</v>
      </c>
      <c r="R127" s="177">
        <v>-11.0</v>
      </c>
      <c r="S127" s="177">
        <v>-12.0</v>
      </c>
      <c r="T127" s="177">
        <v>-13.0</v>
      </c>
      <c r="U127" s="177">
        <v>-14.0</v>
      </c>
      <c r="V127" s="177">
        <v>-15.0</v>
      </c>
      <c r="W127" s="177">
        <v>-16.0</v>
      </c>
      <c r="X127" s="177">
        <v>-17.0</v>
      </c>
      <c r="Y127" s="177">
        <v>-18.0</v>
      </c>
      <c r="Z127" s="25"/>
    </row>
    <row r="128" ht="14.25" customHeight="1">
      <c r="A128" s="1"/>
      <c r="B128" s="32"/>
      <c r="C128" s="33"/>
      <c r="D128" s="33"/>
      <c r="E128" s="33"/>
      <c r="F128" s="34"/>
      <c r="G128" s="35"/>
      <c r="H128" s="35"/>
      <c r="I128" s="35"/>
      <c r="J128" s="35"/>
      <c r="K128" s="35"/>
      <c r="L128" s="35"/>
      <c r="M128" s="35"/>
      <c r="N128" s="102"/>
      <c r="O128" s="35"/>
      <c r="P128" s="35"/>
      <c r="Q128" s="35"/>
      <c r="R128" s="35"/>
      <c r="S128" s="35"/>
      <c r="T128" s="35"/>
      <c r="U128" s="35"/>
      <c r="V128" s="35"/>
      <c r="W128" s="35"/>
      <c r="X128" s="35"/>
      <c r="Y128" s="35"/>
    </row>
    <row r="129" ht="14.25" customHeight="1">
      <c r="A129" s="1"/>
      <c r="B129" s="37"/>
      <c r="C129" s="39" t="s">
        <v>119</v>
      </c>
      <c r="D129" s="39"/>
      <c r="E129" s="39"/>
      <c r="F129" s="39"/>
      <c r="G129" s="39"/>
      <c r="H129" s="39"/>
      <c r="I129" s="159"/>
      <c r="J129" s="103" t="s">
        <v>85</v>
      </c>
      <c r="K129" s="39">
        <f t="shared" ref="K129:R129" si="94">SUM(K130:K131)</f>
        <v>1</v>
      </c>
      <c r="L129" s="39">
        <f t="shared" si="94"/>
        <v>8</v>
      </c>
      <c r="M129" s="60">
        <f t="shared" si="94"/>
        <v>12</v>
      </c>
      <c r="N129" s="178">
        <f t="shared" si="94"/>
        <v>18</v>
      </c>
      <c r="O129" s="62">
        <f t="shared" si="94"/>
        <v>1</v>
      </c>
      <c r="P129" s="39">
        <f t="shared" si="94"/>
        <v>0</v>
      </c>
      <c r="Q129" s="39">
        <f t="shared" si="94"/>
        <v>0</v>
      </c>
      <c r="R129" s="39">
        <f t="shared" si="94"/>
        <v>0</v>
      </c>
      <c r="S129" s="46">
        <f t="shared" ref="S129:U129" si="95">IF(K129=0,0,IF((O129/K129*100)&gt;120,120,O129/K129*100))</f>
        <v>100</v>
      </c>
      <c r="T129" s="46">
        <f t="shared" si="95"/>
        <v>0</v>
      </c>
      <c r="U129" s="46">
        <f t="shared" si="95"/>
        <v>0</v>
      </c>
      <c r="V129" s="46">
        <f t="shared" ref="V129:Y129" si="96">IF($N129=0,0,IF((O129/$N129*100)&gt;120,120,O129/$N129*100))</f>
        <v>5.555555556</v>
      </c>
      <c r="W129" s="46">
        <f t="shared" si="96"/>
        <v>0</v>
      </c>
      <c r="X129" s="46">
        <f t="shared" si="96"/>
        <v>0</v>
      </c>
      <c r="Y129" s="46">
        <f t="shared" si="96"/>
        <v>0</v>
      </c>
    </row>
    <row r="130" ht="14.25" customHeight="1">
      <c r="A130" s="1"/>
      <c r="B130" s="37"/>
      <c r="C130" s="39"/>
      <c r="D130" s="109" t="s">
        <v>120</v>
      </c>
      <c r="E130" s="39"/>
      <c r="F130" s="39"/>
      <c r="G130" s="39"/>
      <c r="H130" s="39"/>
      <c r="I130" s="159"/>
      <c r="J130" s="110" t="s">
        <v>87</v>
      </c>
      <c r="K130" s="42">
        <v>1.0</v>
      </c>
      <c r="L130" s="42">
        <v>8.0</v>
      </c>
      <c r="M130" s="42">
        <v>12.0</v>
      </c>
      <c r="N130" s="42">
        <v>15.0</v>
      </c>
      <c r="O130" s="42">
        <v>1.0</v>
      </c>
      <c r="P130" s="42"/>
      <c r="Q130" s="42"/>
      <c r="R130" s="42"/>
      <c r="S130" s="46">
        <f t="shared" ref="S130:U130" si="97">IF(K130=0,0,IF((O130/K130*100)&gt;120,120,O130/K130*100))</f>
        <v>100</v>
      </c>
      <c r="T130" s="46">
        <f t="shared" si="97"/>
        <v>0</v>
      </c>
      <c r="U130" s="46">
        <f t="shared" si="97"/>
        <v>0</v>
      </c>
      <c r="V130" s="46">
        <f t="shared" ref="V130:Y130" si="98">IF($N130=0,0,IF((O130/$N130*100)&gt;120,120,O130/$N130*100))</f>
        <v>6.666666667</v>
      </c>
      <c r="W130" s="46">
        <f t="shared" si="98"/>
        <v>0</v>
      </c>
      <c r="X130" s="46">
        <f t="shared" si="98"/>
        <v>0</v>
      </c>
      <c r="Y130" s="46">
        <f t="shared" si="98"/>
        <v>0</v>
      </c>
    </row>
    <row r="131" ht="14.25" customHeight="1">
      <c r="A131" s="1"/>
      <c r="B131" s="37"/>
      <c r="C131" s="39"/>
      <c r="D131" s="109" t="s">
        <v>121</v>
      </c>
      <c r="E131" s="39"/>
      <c r="F131" s="39"/>
      <c r="G131" s="39"/>
      <c r="H131" s="39"/>
      <c r="I131" s="159"/>
      <c r="J131" s="110" t="s">
        <v>66</v>
      </c>
      <c r="K131" s="42">
        <v>0.0</v>
      </c>
      <c r="L131" s="42">
        <v>0.0</v>
      </c>
      <c r="M131" s="42">
        <v>0.0</v>
      </c>
      <c r="N131" s="42">
        <v>3.0</v>
      </c>
      <c r="O131" s="42">
        <v>0.0</v>
      </c>
      <c r="P131" s="42"/>
      <c r="Q131" s="42"/>
      <c r="R131" s="42"/>
      <c r="S131" s="46">
        <f t="shared" ref="S131:U131" si="99">IF(K131=0,0,IF((O131/K131*100)&gt;120,120,O131/K131*100))</f>
        <v>0</v>
      </c>
      <c r="T131" s="46">
        <f t="shared" si="99"/>
        <v>0</v>
      </c>
      <c r="U131" s="46">
        <f t="shared" si="99"/>
        <v>0</v>
      </c>
      <c r="V131" s="46">
        <f t="shared" ref="V131:Y131" si="100">IF($N131=0,0,IF((O131/$N131*100)&gt;120,120,O131/$N131*100))</f>
        <v>0</v>
      </c>
      <c r="W131" s="46">
        <f t="shared" si="100"/>
        <v>0</v>
      </c>
      <c r="X131" s="46">
        <f t="shared" si="100"/>
        <v>0</v>
      </c>
      <c r="Y131" s="46">
        <f t="shared" si="100"/>
        <v>0</v>
      </c>
    </row>
    <row r="132" ht="14.25" customHeight="1">
      <c r="A132" s="1"/>
      <c r="B132" s="37"/>
      <c r="C132" s="39" t="s">
        <v>122</v>
      </c>
      <c r="D132" s="39"/>
      <c r="E132" s="39"/>
      <c r="F132" s="39"/>
      <c r="G132" s="39"/>
      <c r="H132" s="39"/>
      <c r="I132" s="159"/>
      <c r="J132" s="103" t="s">
        <v>85</v>
      </c>
      <c r="K132" s="39">
        <f t="shared" ref="K132:R132" si="101">SUM(K133:K134)</f>
        <v>1</v>
      </c>
      <c r="L132" s="39">
        <f t="shared" si="101"/>
        <v>8</v>
      </c>
      <c r="M132" s="60">
        <f t="shared" si="101"/>
        <v>12</v>
      </c>
      <c r="N132" s="178">
        <f t="shared" si="101"/>
        <v>18</v>
      </c>
      <c r="O132" s="62">
        <f t="shared" si="101"/>
        <v>1</v>
      </c>
      <c r="P132" s="39">
        <f t="shared" si="101"/>
        <v>0</v>
      </c>
      <c r="Q132" s="39">
        <f t="shared" si="101"/>
        <v>0</v>
      </c>
      <c r="R132" s="39">
        <f t="shared" si="101"/>
        <v>0</v>
      </c>
      <c r="S132" s="46">
        <f t="shared" ref="S132:U132" si="102">IF(K132=0,0,IF((O132/K132*100)&gt;120,120,O132/K132*100))</f>
        <v>100</v>
      </c>
      <c r="T132" s="46">
        <f t="shared" si="102"/>
        <v>0</v>
      </c>
      <c r="U132" s="46">
        <f t="shared" si="102"/>
        <v>0</v>
      </c>
      <c r="V132" s="46">
        <f t="shared" ref="V132:Y132" si="103">IF($N132=0,0,IF((O132/$N132*100)&gt;120,120,O132/$N132*100))</f>
        <v>5.555555556</v>
      </c>
      <c r="W132" s="46">
        <f t="shared" si="103"/>
        <v>0</v>
      </c>
      <c r="X132" s="46">
        <f t="shared" si="103"/>
        <v>0</v>
      </c>
      <c r="Y132" s="46">
        <f t="shared" si="103"/>
        <v>0</v>
      </c>
    </row>
    <row r="133" ht="14.25" customHeight="1">
      <c r="A133" s="1"/>
      <c r="B133" s="37"/>
      <c r="C133" s="39"/>
      <c r="D133" s="109" t="s">
        <v>123</v>
      </c>
      <c r="E133" s="39"/>
      <c r="F133" s="39"/>
      <c r="G133" s="39"/>
      <c r="H133" s="39"/>
      <c r="I133" s="159"/>
      <c r="J133" s="110" t="s">
        <v>87</v>
      </c>
      <c r="K133" s="42">
        <v>1.0</v>
      </c>
      <c r="L133" s="42">
        <v>8.0</v>
      </c>
      <c r="M133" s="42">
        <v>12.0</v>
      </c>
      <c r="N133" s="42">
        <v>15.0</v>
      </c>
      <c r="O133" s="42">
        <v>1.0</v>
      </c>
      <c r="P133" s="42"/>
      <c r="Q133" s="42"/>
      <c r="R133" s="42"/>
      <c r="S133" s="46">
        <f t="shared" ref="S133:U133" si="104">IF(K133=0,0,IF((O133/K133*100)&gt;120,120,O133/K133*100))</f>
        <v>100</v>
      </c>
      <c r="T133" s="46">
        <f t="shared" si="104"/>
        <v>0</v>
      </c>
      <c r="U133" s="46">
        <f t="shared" si="104"/>
        <v>0</v>
      </c>
      <c r="V133" s="46">
        <f t="shared" ref="V133:Y133" si="105">IF($N133=0,0,IF((O133/$N133*100)&gt;120,120,O133/$N133*100))</f>
        <v>6.666666667</v>
      </c>
      <c r="W133" s="46">
        <f t="shared" si="105"/>
        <v>0</v>
      </c>
      <c r="X133" s="46">
        <f t="shared" si="105"/>
        <v>0</v>
      </c>
      <c r="Y133" s="46">
        <f t="shared" si="105"/>
        <v>0</v>
      </c>
    </row>
    <row r="134" ht="14.25" customHeight="1">
      <c r="A134" s="1"/>
      <c r="B134" s="37"/>
      <c r="C134" s="39"/>
      <c r="D134" s="109" t="s">
        <v>124</v>
      </c>
      <c r="E134" s="39"/>
      <c r="F134" s="39"/>
      <c r="G134" s="39"/>
      <c r="H134" s="39"/>
      <c r="I134" s="159"/>
      <c r="J134" s="110" t="s">
        <v>66</v>
      </c>
      <c r="K134" s="42">
        <v>0.0</v>
      </c>
      <c r="L134" s="42">
        <v>0.0</v>
      </c>
      <c r="M134" s="42">
        <v>0.0</v>
      </c>
      <c r="N134" s="42">
        <v>3.0</v>
      </c>
      <c r="O134" s="42">
        <v>0.0</v>
      </c>
      <c r="P134" s="42"/>
      <c r="Q134" s="42"/>
      <c r="R134" s="42"/>
      <c r="S134" s="46">
        <f t="shared" ref="S134:U134" si="106">IF(K134=0,0,IF((O134/K134*100)&gt;120,120,O134/K134*100))</f>
        <v>0</v>
      </c>
      <c r="T134" s="46">
        <f t="shared" si="106"/>
        <v>0</v>
      </c>
      <c r="U134" s="46">
        <f t="shared" si="106"/>
        <v>0</v>
      </c>
      <c r="V134" s="46">
        <f t="shared" ref="V134:Y134" si="107">IF($N134=0,0,IF((O134/$N134*100)&gt;120,120,O134/$N134*100))</f>
        <v>0</v>
      </c>
      <c r="W134" s="46">
        <f t="shared" si="107"/>
        <v>0</v>
      </c>
      <c r="X134" s="46">
        <f t="shared" si="107"/>
        <v>0</v>
      </c>
      <c r="Y134" s="46">
        <f t="shared" si="107"/>
        <v>0</v>
      </c>
    </row>
    <row r="135" ht="16.5" customHeight="1">
      <c r="A135" s="1"/>
      <c r="B135" s="37"/>
      <c r="C135" s="39" t="s">
        <v>125</v>
      </c>
      <c r="D135" s="39"/>
      <c r="E135" s="39"/>
      <c r="F135" s="39"/>
      <c r="G135" s="39"/>
      <c r="H135" s="39"/>
      <c r="I135" s="159"/>
      <c r="J135" s="103" t="s">
        <v>87</v>
      </c>
      <c r="K135" s="42">
        <v>1.0</v>
      </c>
      <c r="L135" s="42">
        <v>5.0</v>
      </c>
      <c r="M135" s="42">
        <v>9.0</v>
      </c>
      <c r="N135" s="42">
        <v>10.0</v>
      </c>
      <c r="O135" s="42">
        <v>1.0</v>
      </c>
      <c r="P135" s="42"/>
      <c r="Q135" s="42"/>
      <c r="R135" s="42"/>
      <c r="S135" s="46">
        <f t="shared" ref="S135:U135" si="108">IF(K135=0,0,IF((O135/K135*100)&gt;120,120,O135/K135*100))</f>
        <v>100</v>
      </c>
      <c r="T135" s="46">
        <f t="shared" si="108"/>
        <v>0</v>
      </c>
      <c r="U135" s="46">
        <f t="shared" si="108"/>
        <v>0</v>
      </c>
      <c r="V135" s="46">
        <f t="shared" ref="V135:Y135" si="109">IF($N135=0,0,IF((O135/$N135*100)&gt;120,120,O135/$N135*100))</f>
        <v>10</v>
      </c>
      <c r="W135" s="46">
        <f t="shared" si="109"/>
        <v>0</v>
      </c>
      <c r="X135" s="46">
        <f t="shared" si="109"/>
        <v>0</v>
      </c>
      <c r="Y135" s="46">
        <f t="shared" si="109"/>
        <v>0</v>
      </c>
    </row>
    <row r="136" ht="14.25" customHeight="1">
      <c r="A136" s="1"/>
      <c r="B136" s="37"/>
      <c r="C136" s="39" t="s">
        <v>126</v>
      </c>
      <c r="D136" s="39"/>
      <c r="E136" s="39"/>
      <c r="F136" s="39"/>
      <c r="G136" s="39"/>
      <c r="H136" s="39"/>
      <c r="I136" s="159"/>
      <c r="J136" s="103" t="s">
        <v>95</v>
      </c>
      <c r="K136" s="42">
        <v>12.0</v>
      </c>
      <c r="L136" s="42">
        <v>24.0</v>
      </c>
      <c r="M136" s="42">
        <v>36.0</v>
      </c>
      <c r="N136" s="42">
        <v>48.0</v>
      </c>
      <c r="O136" s="42">
        <v>12.0</v>
      </c>
      <c r="P136" s="42"/>
      <c r="Q136" s="42"/>
      <c r="R136" s="42"/>
      <c r="S136" s="46">
        <f t="shared" ref="S136:U136" si="110">IF(K136=0,0,IF((O136/K136*100)&gt;120,120,O136/K136*100))</f>
        <v>100</v>
      </c>
      <c r="T136" s="46">
        <f t="shared" si="110"/>
        <v>0</v>
      </c>
      <c r="U136" s="46">
        <f t="shared" si="110"/>
        <v>0</v>
      </c>
      <c r="V136" s="46">
        <f t="shared" ref="V136:Y136" si="111">IF($N136=0,0,IF((O136/$N136*100)&gt;120,120,O136/$N136*100))</f>
        <v>25</v>
      </c>
      <c r="W136" s="46">
        <f t="shared" si="111"/>
        <v>0</v>
      </c>
      <c r="X136" s="46">
        <f t="shared" si="111"/>
        <v>0</v>
      </c>
      <c r="Y136" s="46">
        <f t="shared" si="111"/>
        <v>0</v>
      </c>
    </row>
    <row r="137" ht="14.25" customHeight="1">
      <c r="A137" s="1"/>
      <c r="B137" s="37"/>
      <c r="C137" s="39" t="s">
        <v>127</v>
      </c>
      <c r="D137" s="39"/>
      <c r="E137" s="39"/>
      <c r="F137" s="41"/>
      <c r="G137" s="39"/>
      <c r="H137" s="39"/>
      <c r="I137" s="159"/>
      <c r="J137" s="103" t="s">
        <v>35</v>
      </c>
      <c r="K137" s="46">
        <f t="shared" ref="K137:R137" si="112">IF(SUM($I138:$I140)=0,0,AVERAGE(IF($I138&gt;0,K138/$I138*100,0),IF($I139&gt;0,K139/$I139*100,0),IF($I140&gt;0,K140/$I140*100,0)))</f>
        <v>0</v>
      </c>
      <c r="L137" s="46">
        <f t="shared" si="112"/>
        <v>0</v>
      </c>
      <c r="M137" s="375">
        <f t="shared" si="112"/>
        <v>0</v>
      </c>
      <c r="N137" s="378">
        <f t="shared" si="112"/>
        <v>0</v>
      </c>
      <c r="O137" s="377">
        <f t="shared" si="112"/>
        <v>0</v>
      </c>
      <c r="P137" s="46">
        <f t="shared" si="112"/>
        <v>0</v>
      </c>
      <c r="Q137" s="46">
        <f t="shared" si="112"/>
        <v>0</v>
      </c>
      <c r="R137" s="46">
        <f t="shared" si="112"/>
        <v>0</v>
      </c>
      <c r="S137" s="46">
        <f t="shared" ref="S137:U137" si="113">IF(K137=0,0,IF((O137/K137*100)&gt;120,120,O137/K137*100))</f>
        <v>0</v>
      </c>
      <c r="T137" s="46">
        <f t="shared" si="113"/>
        <v>0</v>
      </c>
      <c r="U137" s="46">
        <f t="shared" si="113"/>
        <v>0</v>
      </c>
      <c r="V137" s="46">
        <f t="shared" ref="V137:Y137" si="114">IF($N137=0,0,IF((O137/$N137*100)&gt;120,120,O137/$N137*100))</f>
        <v>0</v>
      </c>
      <c r="W137" s="46">
        <f t="shared" si="114"/>
        <v>0</v>
      </c>
      <c r="X137" s="46">
        <f t="shared" si="114"/>
        <v>0</v>
      </c>
      <c r="Y137" s="46">
        <f t="shared" si="114"/>
        <v>0</v>
      </c>
    </row>
    <row r="138" ht="14.25" customHeight="1">
      <c r="A138" s="1"/>
      <c r="B138" s="37"/>
      <c r="C138" s="39"/>
      <c r="D138" s="109" t="s">
        <v>128</v>
      </c>
      <c r="E138" s="39"/>
      <c r="F138" s="41"/>
      <c r="G138" s="39"/>
      <c r="H138" s="39"/>
      <c r="I138" s="42"/>
      <c r="J138" s="110" t="s">
        <v>98</v>
      </c>
      <c r="K138" s="42">
        <v>993.0</v>
      </c>
      <c r="L138" s="42">
        <v>2107.0</v>
      </c>
      <c r="M138" s="42">
        <v>3100.0</v>
      </c>
      <c r="N138" s="42">
        <v>4093.0</v>
      </c>
      <c r="O138" s="42">
        <v>993.0</v>
      </c>
      <c r="P138" s="42"/>
      <c r="Q138" s="42"/>
      <c r="R138" s="42"/>
      <c r="S138" s="111"/>
      <c r="T138" s="111"/>
      <c r="U138" s="111"/>
      <c r="V138" s="111"/>
      <c r="W138" s="111"/>
      <c r="X138" s="111"/>
      <c r="Y138" s="111"/>
    </row>
    <row r="139" ht="14.25" customHeight="1">
      <c r="A139" s="1"/>
      <c r="B139" s="37"/>
      <c r="C139" s="39"/>
      <c r="D139" s="109" t="s">
        <v>129</v>
      </c>
      <c r="E139" s="39"/>
      <c r="F139" s="41"/>
      <c r="G139" s="39"/>
      <c r="H139" s="39"/>
      <c r="I139" s="42"/>
      <c r="J139" s="110" t="s">
        <v>98</v>
      </c>
      <c r="K139" s="42">
        <v>1645.0</v>
      </c>
      <c r="L139" s="42">
        <v>3571.0</v>
      </c>
      <c r="M139" s="42">
        <v>7069.0</v>
      </c>
      <c r="N139" s="42">
        <v>8963.0</v>
      </c>
      <c r="O139" s="42">
        <v>1585.0</v>
      </c>
      <c r="P139" s="42"/>
      <c r="Q139" s="42"/>
      <c r="R139" s="42"/>
      <c r="S139" s="111"/>
      <c r="T139" s="111"/>
      <c r="U139" s="111"/>
      <c r="V139" s="111"/>
      <c r="W139" s="111"/>
      <c r="X139" s="111"/>
      <c r="Y139" s="111"/>
    </row>
    <row r="140" ht="14.25" customHeight="1">
      <c r="A140" s="1"/>
      <c r="B140" s="37"/>
      <c r="C140" s="39"/>
      <c r="D140" s="109" t="s">
        <v>130</v>
      </c>
      <c r="E140" s="39"/>
      <c r="F140" s="41"/>
      <c r="G140" s="39"/>
      <c r="H140" s="39"/>
      <c r="I140" s="42"/>
      <c r="J140" s="110" t="s">
        <v>98</v>
      </c>
      <c r="K140" s="42">
        <v>143.0</v>
      </c>
      <c r="L140" s="42">
        <v>398.0</v>
      </c>
      <c r="M140" s="42">
        <v>586.0</v>
      </c>
      <c r="N140" s="42">
        <v>762.0</v>
      </c>
      <c r="O140" s="42">
        <v>143.0</v>
      </c>
      <c r="P140" s="42"/>
      <c r="Q140" s="42"/>
      <c r="R140" s="42"/>
      <c r="S140" s="111"/>
      <c r="T140" s="111"/>
      <c r="U140" s="111"/>
      <c r="V140" s="111"/>
      <c r="W140" s="111"/>
      <c r="X140" s="111"/>
      <c r="Y140" s="111"/>
    </row>
    <row r="141" ht="14.25" customHeight="1">
      <c r="A141" s="1"/>
      <c r="B141" s="37"/>
      <c r="C141" s="39" t="s">
        <v>131</v>
      </c>
      <c r="D141" s="39"/>
      <c r="E141" s="39"/>
      <c r="F141" s="41"/>
      <c r="G141" s="39"/>
      <c r="H141" s="39"/>
      <c r="I141" s="159"/>
      <c r="J141" s="103" t="s">
        <v>35</v>
      </c>
      <c r="K141" s="42">
        <v>100.0</v>
      </c>
      <c r="L141" s="42">
        <v>100.0</v>
      </c>
      <c r="M141" s="42">
        <v>100.0</v>
      </c>
      <c r="N141" s="42">
        <v>100.0</v>
      </c>
      <c r="O141" s="42">
        <v>97.84</v>
      </c>
      <c r="P141" s="42"/>
      <c r="Q141" s="42"/>
      <c r="R141" s="42"/>
      <c r="S141" s="46">
        <f t="shared" ref="S141:U141" si="115">IF(K141=0,0,IF((O141/K141*100)&gt;120,120,O141/K141*100))</f>
        <v>97.84</v>
      </c>
      <c r="T141" s="46">
        <f t="shared" si="115"/>
        <v>0</v>
      </c>
      <c r="U141" s="46">
        <f t="shared" si="115"/>
        <v>0</v>
      </c>
      <c r="V141" s="46">
        <f t="shared" ref="V141:Y141" si="116">IF($N141=0,0,IF((O141/$N141*100)&gt;120,120,O141/$N141*100))</f>
        <v>97.84</v>
      </c>
      <c r="W141" s="46">
        <f t="shared" si="116"/>
        <v>0</v>
      </c>
      <c r="X141" s="46">
        <f t="shared" si="116"/>
        <v>0</v>
      </c>
      <c r="Y141" s="46">
        <f t="shared" si="116"/>
        <v>0</v>
      </c>
    </row>
    <row r="142" ht="14.25" customHeight="1">
      <c r="A142" s="1"/>
      <c r="B142" s="37"/>
      <c r="C142" s="39"/>
      <c r="D142" s="39"/>
      <c r="E142" s="39"/>
      <c r="F142" s="41"/>
      <c r="G142" s="39"/>
      <c r="H142" s="39"/>
      <c r="I142" s="39"/>
      <c r="J142" s="39"/>
      <c r="K142" s="39"/>
      <c r="L142" s="39"/>
      <c r="M142" s="39"/>
      <c r="N142" s="77"/>
      <c r="O142" s="39"/>
      <c r="P142" s="39"/>
      <c r="Q142" s="39"/>
      <c r="R142" s="39"/>
      <c r="S142" s="39"/>
      <c r="T142" s="39"/>
      <c r="U142" s="39"/>
      <c r="V142" s="39"/>
      <c r="W142" s="39"/>
      <c r="X142" s="39"/>
      <c r="Y142" s="39"/>
    </row>
    <row r="143" ht="14.25" customHeight="1">
      <c r="A143" s="1"/>
      <c r="B143" s="181"/>
      <c r="C143" s="182"/>
      <c r="D143" s="183"/>
      <c r="E143" s="183"/>
      <c r="F143" s="183"/>
      <c r="G143" s="184" t="s">
        <v>478</v>
      </c>
      <c r="H143" s="183"/>
      <c r="I143" s="183"/>
      <c r="J143" s="183"/>
      <c r="K143" s="185"/>
      <c r="L143" s="185"/>
      <c r="M143" s="185"/>
      <c r="N143" s="185"/>
      <c r="O143" s="185"/>
      <c r="P143" s="185"/>
      <c r="Q143" s="185"/>
      <c r="R143" s="185"/>
      <c r="S143" s="186">
        <f t="shared" ref="S143:U143" si="117">IF(SUM(K129,K132,K135:K137,K141)&gt;0,SUM(S129,S132,S135:S137,S141)/SUM(COUNTIF(K129,"&gt;0"),COUNTIF(K132,"&gt;0"),COUNTIF(K135:K137,"&gt;0"),COUNTIF(K141,"&gt;0")),0)</f>
        <v>99.568</v>
      </c>
      <c r="T143" s="186">
        <f t="shared" si="117"/>
        <v>0</v>
      </c>
      <c r="U143" s="186">
        <f t="shared" si="117"/>
        <v>0</v>
      </c>
      <c r="V143" s="186">
        <f t="shared" ref="V143:Y143" si="118">IF(SUM($N129,$N132,$N135:$N137,$N141)&gt;0,SUM(V129,V132,V135:V137,V141)/SUM(COUNTIF($N129,"&gt;0"),COUNTIF($N132,"&gt;0"),COUNTIF($N135:$N137,"&gt;0"),COUNTIF($N141,"&gt;0")),0)</f>
        <v>28.79022222</v>
      </c>
      <c r="W143" s="186">
        <f t="shared" si="118"/>
        <v>0</v>
      </c>
      <c r="X143" s="186">
        <f t="shared" si="118"/>
        <v>0</v>
      </c>
      <c r="Y143" s="186">
        <f t="shared" si="118"/>
        <v>0</v>
      </c>
    </row>
    <row r="144" ht="14.25" customHeight="1">
      <c r="A144" s="1"/>
    </row>
    <row r="145" ht="14.25" customHeight="1">
      <c r="A145" s="1"/>
    </row>
    <row r="146" ht="14.25" customHeight="1">
      <c r="A146" s="1"/>
      <c r="B146" s="4" t="s">
        <v>133</v>
      </c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6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</row>
    <row r="147" ht="15.75" customHeight="1">
      <c r="A147" s="1"/>
      <c r="B147" s="187" t="s">
        <v>2</v>
      </c>
      <c r="C147" s="8"/>
      <c r="D147" s="8"/>
      <c r="E147" s="8"/>
      <c r="F147" s="8"/>
      <c r="G147" s="8"/>
      <c r="H147" s="119"/>
      <c r="I147" s="188" t="s">
        <v>83</v>
      </c>
      <c r="J147" s="189" t="s">
        <v>3</v>
      </c>
      <c r="K147" s="11"/>
      <c r="L147" s="11"/>
      <c r="M147" s="11"/>
      <c r="N147" s="11"/>
      <c r="O147" s="11"/>
      <c r="P147" s="11"/>
      <c r="Q147" s="11"/>
      <c r="R147" s="12"/>
      <c r="S147" s="189" t="s">
        <v>4</v>
      </c>
      <c r="T147" s="11"/>
      <c r="U147" s="11"/>
      <c r="V147" s="11"/>
      <c r="W147" s="11"/>
      <c r="X147" s="11"/>
      <c r="Y147" s="12"/>
    </row>
    <row r="148" ht="15.0" customHeight="1">
      <c r="A148" s="1"/>
      <c r="B148" s="13"/>
      <c r="H148" s="122"/>
      <c r="I148" s="123"/>
      <c r="J148" s="190" t="s">
        <v>5</v>
      </c>
      <c r="K148" s="191" t="s">
        <v>6</v>
      </c>
      <c r="L148" s="17"/>
      <c r="M148" s="17"/>
      <c r="N148" s="18"/>
      <c r="O148" s="191" t="s">
        <v>7</v>
      </c>
      <c r="P148" s="17"/>
      <c r="Q148" s="17"/>
      <c r="R148" s="18"/>
      <c r="S148" s="191" t="s">
        <v>8</v>
      </c>
      <c r="T148" s="17"/>
      <c r="U148" s="18"/>
      <c r="V148" s="191" t="s">
        <v>9</v>
      </c>
      <c r="W148" s="17"/>
      <c r="X148" s="17"/>
      <c r="Y148" s="18"/>
    </row>
    <row r="149" ht="14.25" customHeight="1">
      <c r="A149" s="1"/>
      <c r="B149" s="19"/>
      <c r="C149" s="20"/>
      <c r="D149" s="20"/>
      <c r="E149" s="20"/>
      <c r="F149" s="20"/>
      <c r="G149" s="20"/>
      <c r="H149" s="126"/>
      <c r="I149" s="22"/>
      <c r="J149" s="22"/>
      <c r="K149" s="192" t="s">
        <v>10</v>
      </c>
      <c r="L149" s="192" t="s">
        <v>11</v>
      </c>
      <c r="M149" s="192" t="s">
        <v>12</v>
      </c>
      <c r="N149" s="192" t="s">
        <v>13</v>
      </c>
      <c r="O149" s="192" t="s">
        <v>10</v>
      </c>
      <c r="P149" s="192" t="s">
        <v>11</v>
      </c>
      <c r="Q149" s="192" t="s">
        <v>12</v>
      </c>
      <c r="R149" s="192" t="s">
        <v>13</v>
      </c>
      <c r="S149" s="192" t="s">
        <v>10</v>
      </c>
      <c r="T149" s="192" t="s">
        <v>11</v>
      </c>
      <c r="U149" s="192" t="s">
        <v>12</v>
      </c>
      <c r="V149" s="192" t="s">
        <v>10</v>
      </c>
      <c r="W149" s="192" t="s">
        <v>11</v>
      </c>
      <c r="X149" s="192" t="s">
        <v>12</v>
      </c>
      <c r="Y149" s="193" t="s">
        <v>13</v>
      </c>
      <c r="Z149" s="25"/>
    </row>
    <row r="150" ht="14.25" customHeight="1">
      <c r="A150" s="1"/>
      <c r="B150" s="194">
        <v>-1.0</v>
      </c>
      <c r="C150" s="27"/>
      <c r="D150" s="27"/>
      <c r="E150" s="27"/>
      <c r="F150" s="27"/>
      <c r="G150" s="27"/>
      <c r="H150" s="130"/>
      <c r="I150" s="195">
        <v>-2.0</v>
      </c>
      <c r="J150" s="195">
        <v>-3.0</v>
      </c>
      <c r="K150" s="195">
        <v>-4.0</v>
      </c>
      <c r="L150" s="195">
        <v>-5.0</v>
      </c>
      <c r="M150" s="195">
        <v>-6.0</v>
      </c>
      <c r="N150" s="195">
        <v>-7.0</v>
      </c>
      <c r="O150" s="195">
        <v>-8.0</v>
      </c>
      <c r="P150" s="195">
        <v>-9.0</v>
      </c>
      <c r="Q150" s="195">
        <v>-10.0</v>
      </c>
      <c r="R150" s="195">
        <v>-11.0</v>
      </c>
      <c r="S150" s="195">
        <v>-12.0</v>
      </c>
      <c r="T150" s="195">
        <v>-13.0</v>
      </c>
      <c r="U150" s="195">
        <v>-14.0</v>
      </c>
      <c r="V150" s="195">
        <v>-15.0</v>
      </c>
      <c r="W150" s="195">
        <v>-16.0</v>
      </c>
      <c r="X150" s="195">
        <v>-17.0</v>
      </c>
      <c r="Y150" s="195">
        <v>-18.0</v>
      </c>
      <c r="Z150" s="25"/>
    </row>
    <row r="151" ht="14.25" customHeight="1">
      <c r="A151" s="1"/>
      <c r="B151" s="32"/>
      <c r="C151" s="33"/>
      <c r="D151" s="33"/>
      <c r="E151" s="33"/>
      <c r="F151" s="34"/>
      <c r="G151" s="35"/>
      <c r="H151" s="35"/>
      <c r="I151" s="35"/>
      <c r="J151" s="35"/>
      <c r="K151" s="35"/>
      <c r="L151" s="35"/>
      <c r="M151" s="35"/>
      <c r="N151" s="102"/>
      <c r="O151" s="35"/>
      <c r="P151" s="35"/>
      <c r="Q151" s="35"/>
      <c r="R151" s="35"/>
      <c r="S151" s="35"/>
      <c r="T151" s="35"/>
      <c r="U151" s="35"/>
      <c r="V151" s="35"/>
      <c r="W151" s="35"/>
      <c r="X151" s="35"/>
      <c r="Y151" s="35"/>
    </row>
    <row r="152" ht="14.25" customHeight="1">
      <c r="A152" s="1"/>
      <c r="B152" s="37"/>
      <c r="C152" s="39" t="s">
        <v>134</v>
      </c>
      <c r="D152" s="39"/>
      <c r="E152" s="39"/>
      <c r="F152" s="39"/>
      <c r="G152" s="39"/>
      <c r="H152" s="39"/>
      <c r="I152" s="159">
        <f>SUM(I153:I154)</f>
        <v>19</v>
      </c>
      <c r="J152" s="103" t="s">
        <v>85</v>
      </c>
      <c r="K152" s="196">
        <f t="shared" ref="K152:R152" si="119">SUM(K153:K154)</f>
        <v>0</v>
      </c>
      <c r="L152" s="196">
        <f t="shared" si="119"/>
        <v>5</v>
      </c>
      <c r="M152" s="197">
        <f t="shared" si="119"/>
        <v>8</v>
      </c>
      <c r="N152" s="198">
        <f t="shared" si="119"/>
        <v>19</v>
      </c>
      <c r="O152" s="199">
        <f t="shared" si="119"/>
        <v>0</v>
      </c>
      <c r="P152" s="39">
        <f t="shared" si="119"/>
        <v>0</v>
      </c>
      <c r="Q152" s="39">
        <f t="shared" si="119"/>
        <v>0</v>
      </c>
      <c r="R152" s="39">
        <f t="shared" si="119"/>
        <v>0</v>
      </c>
      <c r="S152" s="46">
        <f t="shared" ref="S152:U152" si="120">IF(K152=0,0,IF((O152/K152*100)&gt;120,120,O152/K152*100))</f>
        <v>0</v>
      </c>
      <c r="T152" s="46">
        <f t="shared" si="120"/>
        <v>0</v>
      </c>
      <c r="U152" s="46">
        <f t="shared" si="120"/>
        <v>0</v>
      </c>
      <c r="V152" s="46">
        <f t="shared" ref="V152:Y152" si="121">IF($N152=0,0,IF((O152/$N152*100)&gt;120,120,O152/$N152*100))</f>
        <v>0</v>
      </c>
      <c r="W152" s="46">
        <f t="shared" si="121"/>
        <v>0</v>
      </c>
      <c r="X152" s="46">
        <f t="shared" si="121"/>
        <v>0</v>
      </c>
      <c r="Y152" s="46">
        <f t="shared" si="121"/>
        <v>0</v>
      </c>
    </row>
    <row r="153" ht="14.25" customHeight="1">
      <c r="A153" s="1"/>
      <c r="B153" s="37"/>
      <c r="C153" s="39"/>
      <c r="D153" s="109" t="s">
        <v>135</v>
      </c>
      <c r="E153" s="39"/>
      <c r="F153" s="39"/>
      <c r="G153" s="39"/>
      <c r="H153" s="39"/>
      <c r="I153" s="159">
        <f>'Sub Koordinator Modif'!I368+'Sub Koordinator Modif'!I406+'Sub Koordinator Modif'!I437</f>
        <v>19</v>
      </c>
      <c r="J153" s="110" t="s">
        <v>87</v>
      </c>
      <c r="K153" s="200">
        <f>'Sub Koordinator Modif'!K368+'Sub Koordinator Modif'!K406+'Sub Koordinator Modif'!K437</f>
        <v>0</v>
      </c>
      <c r="L153" s="200">
        <f>'Sub Koordinator Modif'!L368+'Sub Koordinator Modif'!L406+'Sub Koordinator Modif'!L437</f>
        <v>5</v>
      </c>
      <c r="M153" s="200">
        <f>'Sub Koordinator Modif'!M368+'Sub Koordinator Modif'!M406+'Sub Koordinator Modif'!M437</f>
        <v>8</v>
      </c>
      <c r="N153" s="200">
        <f>'Sub Koordinator Modif'!N368+'Sub Koordinator Modif'!N406+'Sub Koordinator Modif'!N437</f>
        <v>19</v>
      </c>
      <c r="O153" s="200">
        <f>'Sub Koordinator Modif'!O368+'Sub Koordinator Modif'!O406+'Sub Koordinator Modif'!O437</f>
        <v>0</v>
      </c>
      <c r="P153" s="42"/>
      <c r="Q153" s="42"/>
      <c r="R153" s="42"/>
      <c r="S153" s="46">
        <f t="shared" ref="S153:U153" si="122">IF(K153=0,0,IF((O153/K153*100)&gt;120,120,O153/K153*100))</f>
        <v>0</v>
      </c>
      <c r="T153" s="46">
        <f t="shared" si="122"/>
        <v>0</v>
      </c>
      <c r="U153" s="46">
        <f t="shared" si="122"/>
        <v>0</v>
      </c>
      <c r="V153" s="46">
        <f t="shared" ref="V153:Y153" si="123">IF($N153=0,0,IF((O153/$N153*100)&gt;120,120,O153/$N153*100))</f>
        <v>0</v>
      </c>
      <c r="W153" s="46">
        <f t="shared" si="123"/>
        <v>0</v>
      </c>
      <c r="X153" s="46">
        <f t="shared" si="123"/>
        <v>0</v>
      </c>
      <c r="Y153" s="46">
        <f t="shared" si="123"/>
        <v>0</v>
      </c>
    </row>
    <row r="154" ht="14.25" customHeight="1">
      <c r="A154" s="1"/>
      <c r="B154" s="37"/>
      <c r="C154" s="39"/>
      <c r="D154" s="109" t="s">
        <v>136</v>
      </c>
      <c r="E154" s="39"/>
      <c r="F154" s="39"/>
      <c r="G154" s="39"/>
      <c r="H154" s="39"/>
      <c r="I154" s="159">
        <f>'Sub Koordinator Modif'!I369+'Sub Koordinator Modif'!I407+'Sub Koordinator Modif'!I438</f>
        <v>0</v>
      </c>
      <c r="J154" s="110" t="s">
        <v>66</v>
      </c>
      <c r="K154" s="200">
        <f>'Sub Koordinator Modif'!K369+'Sub Koordinator Modif'!K407+'Sub Koordinator Modif'!K438</f>
        <v>0</v>
      </c>
      <c r="L154" s="200">
        <f>'Sub Koordinator Modif'!L369+'Sub Koordinator Modif'!L407+'Sub Koordinator Modif'!L438</f>
        <v>0</v>
      </c>
      <c r="M154" s="200">
        <f>'Sub Koordinator Modif'!M369+'Sub Koordinator Modif'!M407+'Sub Koordinator Modif'!M438</f>
        <v>0</v>
      </c>
      <c r="N154" s="200">
        <f>'Sub Koordinator Modif'!N369+'Sub Koordinator Modif'!N407+'Sub Koordinator Modif'!N438</f>
        <v>0</v>
      </c>
      <c r="O154" s="200">
        <f>'Sub Koordinator Modif'!O369+'Sub Koordinator Modif'!O407+'Sub Koordinator Modif'!O438</f>
        <v>0</v>
      </c>
      <c r="P154" s="42"/>
      <c r="Q154" s="42"/>
      <c r="R154" s="42"/>
      <c r="S154" s="46">
        <f t="shared" ref="S154:U154" si="124">IF(K154=0,0,IF((O154/K154*100)&gt;120,120,O154/K154*100))</f>
        <v>0</v>
      </c>
      <c r="T154" s="46">
        <f t="shared" si="124"/>
        <v>0</v>
      </c>
      <c r="U154" s="46">
        <f t="shared" si="124"/>
        <v>0</v>
      </c>
      <c r="V154" s="46">
        <f t="shared" ref="V154:Y154" si="125">IF($N154=0,0,IF((O154/$N154*100)&gt;120,120,O154/$N154*100))</f>
        <v>0</v>
      </c>
      <c r="W154" s="46">
        <f t="shared" si="125"/>
        <v>0</v>
      </c>
      <c r="X154" s="46">
        <f t="shared" si="125"/>
        <v>0</v>
      </c>
      <c r="Y154" s="46">
        <f t="shared" si="125"/>
        <v>0</v>
      </c>
    </row>
    <row r="155" ht="14.25" customHeight="1">
      <c r="A155" s="1"/>
      <c r="B155" s="37"/>
      <c r="C155" s="39" t="s">
        <v>137</v>
      </c>
      <c r="D155" s="39"/>
      <c r="E155" s="39"/>
      <c r="F155" s="39"/>
      <c r="G155" s="39"/>
      <c r="H155" s="39"/>
      <c r="I155" s="159">
        <f>SUM(I156:I157)</f>
        <v>7</v>
      </c>
      <c r="J155" s="103" t="s">
        <v>85</v>
      </c>
      <c r="K155" s="196">
        <f t="shared" ref="K155:R155" si="126">SUM(K156:K157)</f>
        <v>0</v>
      </c>
      <c r="L155" s="196">
        <f t="shared" si="126"/>
        <v>2</v>
      </c>
      <c r="M155" s="197">
        <f t="shared" si="126"/>
        <v>3</v>
      </c>
      <c r="N155" s="198">
        <f t="shared" si="126"/>
        <v>7</v>
      </c>
      <c r="O155" s="199">
        <f t="shared" si="126"/>
        <v>0</v>
      </c>
      <c r="P155" s="39">
        <f t="shared" si="126"/>
        <v>0</v>
      </c>
      <c r="Q155" s="39">
        <f t="shared" si="126"/>
        <v>0</v>
      </c>
      <c r="R155" s="39">
        <f t="shared" si="126"/>
        <v>0</v>
      </c>
      <c r="S155" s="46">
        <f t="shared" ref="S155:U155" si="127">IF(K155=0,0,IF((O155/K155*100)&gt;120,120,O155/K155*100))</f>
        <v>0</v>
      </c>
      <c r="T155" s="46">
        <f t="shared" si="127"/>
        <v>0</v>
      </c>
      <c r="U155" s="46">
        <f t="shared" si="127"/>
        <v>0</v>
      </c>
      <c r="V155" s="46">
        <f t="shared" ref="V155:Y155" si="128">IF($N155=0,0,IF((O155/$N155*100)&gt;120,120,O155/$N155*100))</f>
        <v>0</v>
      </c>
      <c r="W155" s="46">
        <f t="shared" si="128"/>
        <v>0</v>
      </c>
      <c r="X155" s="46">
        <f t="shared" si="128"/>
        <v>0</v>
      </c>
      <c r="Y155" s="46">
        <f t="shared" si="128"/>
        <v>0</v>
      </c>
    </row>
    <row r="156" ht="14.25" customHeight="1">
      <c r="A156" s="1"/>
      <c r="B156" s="37"/>
      <c r="C156" s="39"/>
      <c r="D156" s="109" t="s">
        <v>138</v>
      </c>
      <c r="E156" s="39"/>
      <c r="F156" s="39"/>
      <c r="G156" s="39"/>
      <c r="H156" s="39"/>
      <c r="I156" s="159">
        <f>'Sub Koordinator Modif'!I371+'Sub Koordinator Modif'!I409+'Sub Koordinator Modif'!I440</f>
        <v>7</v>
      </c>
      <c r="J156" s="110" t="s">
        <v>87</v>
      </c>
      <c r="K156" s="200">
        <f>'Sub Koordinator Modif'!K371+'Sub Koordinator Modif'!K409+'Sub Koordinator Modif'!K440</f>
        <v>0</v>
      </c>
      <c r="L156" s="200">
        <f>'Sub Koordinator Modif'!L371+'Sub Koordinator Modif'!L409+'Sub Koordinator Modif'!L440</f>
        <v>2</v>
      </c>
      <c r="M156" s="200">
        <f>'Sub Koordinator Modif'!M371+'Sub Koordinator Modif'!M409+'Sub Koordinator Modif'!M440</f>
        <v>3</v>
      </c>
      <c r="N156" s="200">
        <f>'Sub Koordinator Modif'!N371+'Sub Koordinator Modif'!N409+'Sub Koordinator Modif'!N440</f>
        <v>7</v>
      </c>
      <c r="O156" s="200">
        <f>'Sub Koordinator Modif'!O371+'Sub Koordinator Modif'!O409+'Sub Koordinator Modif'!O440</f>
        <v>0</v>
      </c>
      <c r="P156" s="42"/>
      <c r="Q156" s="42"/>
      <c r="R156" s="42"/>
      <c r="S156" s="46">
        <f t="shared" ref="S156:U156" si="129">IF(K156=0,0,IF((O156/K156*100)&gt;120,120,O156/K156*100))</f>
        <v>0</v>
      </c>
      <c r="T156" s="46">
        <f t="shared" si="129"/>
        <v>0</v>
      </c>
      <c r="U156" s="46">
        <f t="shared" si="129"/>
        <v>0</v>
      </c>
      <c r="V156" s="46">
        <f t="shared" ref="V156:Y156" si="130">IF($N156=0,0,IF((O156/$N156*100)&gt;120,120,O156/$N156*100))</f>
        <v>0</v>
      </c>
      <c r="W156" s="46">
        <f t="shared" si="130"/>
        <v>0</v>
      </c>
      <c r="X156" s="46">
        <f t="shared" si="130"/>
        <v>0</v>
      </c>
      <c r="Y156" s="46">
        <f t="shared" si="130"/>
        <v>0</v>
      </c>
    </row>
    <row r="157" ht="14.25" customHeight="1">
      <c r="A157" s="1"/>
      <c r="B157" s="37"/>
      <c r="C157" s="39"/>
      <c r="D157" s="109" t="s">
        <v>139</v>
      </c>
      <c r="E157" s="39"/>
      <c r="F157" s="39"/>
      <c r="G157" s="39"/>
      <c r="H157" s="39"/>
      <c r="I157" s="159">
        <f>'Sub Koordinator Modif'!I372+'Sub Koordinator Modif'!I410+'Sub Koordinator Modif'!I441</f>
        <v>0</v>
      </c>
      <c r="J157" s="110" t="s">
        <v>66</v>
      </c>
      <c r="K157" s="200">
        <f>'Sub Koordinator Modif'!K372+'Sub Koordinator Modif'!K410+'Sub Koordinator Modif'!K441</f>
        <v>0</v>
      </c>
      <c r="L157" s="200">
        <f>'Sub Koordinator Modif'!L372+'Sub Koordinator Modif'!L410+'Sub Koordinator Modif'!L441</f>
        <v>0</v>
      </c>
      <c r="M157" s="200">
        <f>'Sub Koordinator Modif'!M372+'Sub Koordinator Modif'!M410+'Sub Koordinator Modif'!M441</f>
        <v>0</v>
      </c>
      <c r="N157" s="200">
        <f>'Sub Koordinator Modif'!N372+'Sub Koordinator Modif'!N410+'Sub Koordinator Modif'!N441</f>
        <v>0</v>
      </c>
      <c r="O157" s="200">
        <f>'Sub Koordinator Modif'!O372+'Sub Koordinator Modif'!O410+'Sub Koordinator Modif'!O441</f>
        <v>0</v>
      </c>
      <c r="P157" s="42"/>
      <c r="Q157" s="42"/>
      <c r="R157" s="42"/>
      <c r="S157" s="46">
        <f t="shared" ref="S157:U157" si="131">IF(K157=0,0,IF((O157/K157*100)&gt;120,120,O157/K157*100))</f>
        <v>0</v>
      </c>
      <c r="T157" s="46">
        <f t="shared" si="131"/>
        <v>0</v>
      </c>
      <c r="U157" s="46">
        <f t="shared" si="131"/>
        <v>0</v>
      </c>
      <c r="V157" s="46">
        <f t="shared" ref="V157:Y157" si="132">IF($N157=0,0,IF((O157/$N157*100)&gt;120,120,O157/$N157*100))</f>
        <v>0</v>
      </c>
      <c r="W157" s="46">
        <f t="shared" si="132"/>
        <v>0</v>
      </c>
      <c r="X157" s="46">
        <f t="shared" si="132"/>
        <v>0</v>
      </c>
      <c r="Y157" s="46">
        <f t="shared" si="132"/>
        <v>0</v>
      </c>
    </row>
    <row r="158" ht="16.5" customHeight="1">
      <c r="A158" s="1"/>
      <c r="B158" s="37"/>
      <c r="C158" s="39" t="s">
        <v>140</v>
      </c>
      <c r="D158" s="39"/>
      <c r="E158" s="39"/>
      <c r="F158" s="39"/>
      <c r="G158" s="39"/>
      <c r="H158" s="39"/>
      <c r="I158" s="159">
        <f>'Sub Koordinator Modif'!I373+'Sub Koordinator Modif'!I411+'Sub Koordinator Modif'!I442</f>
        <v>9</v>
      </c>
      <c r="J158" s="103" t="s">
        <v>87</v>
      </c>
      <c r="K158" s="200">
        <f>'Sub Koordinator Modif'!K373+'Sub Koordinator Modif'!K411+'Sub Koordinator Modif'!K442</f>
        <v>0</v>
      </c>
      <c r="L158" s="200">
        <f>'Sub Koordinator Modif'!L373+'Sub Koordinator Modif'!L411+'Sub Koordinator Modif'!L442</f>
        <v>3</v>
      </c>
      <c r="M158" s="200">
        <f>'Sub Koordinator Modif'!M373+'Sub Koordinator Modif'!M411+'Sub Koordinator Modif'!M442</f>
        <v>5</v>
      </c>
      <c r="N158" s="200">
        <f>'Sub Koordinator Modif'!N373+'Sub Koordinator Modif'!N411+'Sub Koordinator Modif'!N442</f>
        <v>9</v>
      </c>
      <c r="O158" s="200">
        <f>'Sub Koordinator Modif'!O373+'Sub Koordinator Modif'!O411+'Sub Koordinator Modif'!O442</f>
        <v>0</v>
      </c>
      <c r="P158" s="42"/>
      <c r="Q158" s="42"/>
      <c r="R158" s="42"/>
      <c r="S158" s="46">
        <f t="shared" ref="S158:U158" si="133">IF(K158=0,0,IF((O158/K158*100)&gt;120,120,O158/K158*100))</f>
        <v>0</v>
      </c>
      <c r="T158" s="46">
        <f t="shared" si="133"/>
        <v>0</v>
      </c>
      <c r="U158" s="46">
        <f t="shared" si="133"/>
        <v>0</v>
      </c>
      <c r="V158" s="46">
        <f t="shared" ref="V158:Y158" si="134">IF($N158=0,0,IF((O158/$N158*100)&gt;120,120,O158/$N158*100))</f>
        <v>0</v>
      </c>
      <c r="W158" s="46">
        <f t="shared" si="134"/>
        <v>0</v>
      </c>
      <c r="X158" s="46">
        <f t="shared" si="134"/>
        <v>0</v>
      </c>
      <c r="Y158" s="46">
        <f t="shared" si="134"/>
        <v>0</v>
      </c>
    </row>
    <row r="159" ht="14.25" customHeight="1">
      <c r="A159" s="1"/>
      <c r="B159" s="37"/>
      <c r="C159" s="39" t="s">
        <v>141</v>
      </c>
      <c r="D159" s="39"/>
      <c r="E159" s="39"/>
      <c r="F159" s="39"/>
      <c r="G159" s="39"/>
      <c r="H159" s="39"/>
      <c r="I159" s="159">
        <f>'Sub Koordinator Modif'!I374+'Sub Koordinator Modif'!I412+'Sub Koordinator Modif'!I443</f>
        <v>6</v>
      </c>
      <c r="J159" s="103" t="s">
        <v>95</v>
      </c>
      <c r="K159" s="200">
        <f>'Sub Koordinator Modif'!K374+'Sub Koordinator Modif'!K412+'Sub Koordinator Modif'!K443</f>
        <v>2</v>
      </c>
      <c r="L159" s="200">
        <f>'Sub Koordinator Modif'!L374+'Sub Koordinator Modif'!L412+'Sub Koordinator Modif'!L443</f>
        <v>3</v>
      </c>
      <c r="M159" s="200">
        <f>'Sub Koordinator Modif'!M374+'Sub Koordinator Modif'!M412+'Sub Koordinator Modif'!M443</f>
        <v>4</v>
      </c>
      <c r="N159" s="200">
        <f>'Sub Koordinator Modif'!N374+'Sub Koordinator Modif'!N412+'Sub Koordinator Modif'!N443</f>
        <v>6</v>
      </c>
      <c r="O159" s="200">
        <f>'Sub Koordinator Modif'!O374+'Sub Koordinator Modif'!O412+'Sub Koordinator Modif'!O443</f>
        <v>2</v>
      </c>
      <c r="P159" s="42"/>
      <c r="Q159" s="42"/>
      <c r="R159" s="42"/>
      <c r="S159" s="46">
        <f t="shared" ref="S159:U159" si="135">IF(K159=0,0,IF((O159/K159*100)&gt;120,120,O159/K159*100))</f>
        <v>100</v>
      </c>
      <c r="T159" s="46">
        <f t="shared" si="135"/>
        <v>0</v>
      </c>
      <c r="U159" s="46">
        <f t="shared" si="135"/>
        <v>0</v>
      </c>
      <c r="V159" s="46">
        <f t="shared" ref="V159:Y159" si="136">IF($N159=0,0,IF((O159/$N159*100)&gt;120,120,O159/$N159*100))</f>
        <v>33.33333333</v>
      </c>
      <c r="W159" s="46">
        <f t="shared" si="136"/>
        <v>0</v>
      </c>
      <c r="X159" s="46">
        <f t="shared" si="136"/>
        <v>0</v>
      </c>
      <c r="Y159" s="46">
        <f t="shared" si="136"/>
        <v>0</v>
      </c>
    </row>
    <row r="160" ht="14.25" customHeight="1">
      <c r="A160" s="1"/>
      <c r="B160" s="37"/>
      <c r="C160" s="39" t="s">
        <v>142</v>
      </c>
      <c r="D160" s="39"/>
      <c r="E160" s="39"/>
      <c r="F160" s="41"/>
      <c r="G160" s="39"/>
      <c r="H160" s="39"/>
      <c r="I160" s="159"/>
      <c r="J160" s="103" t="s">
        <v>35</v>
      </c>
      <c r="K160" s="379">
        <f t="shared" ref="K160:R160" si="137">IF(SUM($I161:$I163)=0,0,AVERAGE(IF($I161&gt;0,K161/$I161*100,0),IF($I162&gt;0,K162/$I162*100,0),IF($I163&gt;0,K163/$I163*100,0)))</f>
        <v>6.427283161</v>
      </c>
      <c r="L160" s="379">
        <f t="shared" si="137"/>
        <v>14.35481226</v>
      </c>
      <c r="M160" s="380">
        <f t="shared" si="137"/>
        <v>50.78974695</v>
      </c>
      <c r="N160" s="381">
        <f t="shared" si="137"/>
        <v>95.38594669</v>
      </c>
      <c r="O160" s="382">
        <f t="shared" si="137"/>
        <v>6.775792024</v>
      </c>
      <c r="P160" s="46">
        <f t="shared" si="137"/>
        <v>0</v>
      </c>
      <c r="Q160" s="46">
        <f t="shared" si="137"/>
        <v>0</v>
      </c>
      <c r="R160" s="46">
        <f t="shared" si="137"/>
        <v>0</v>
      </c>
      <c r="S160" s="46">
        <f t="shared" ref="S160:U160" si="138">IF(K160=0,0,IF((O160/K160*100)&gt;120,120,O160/K160*100))</f>
        <v>105.4223356</v>
      </c>
      <c r="T160" s="46">
        <f t="shared" si="138"/>
        <v>0</v>
      </c>
      <c r="U160" s="46">
        <f t="shared" si="138"/>
        <v>0</v>
      </c>
      <c r="V160" s="46">
        <f t="shared" ref="V160:Y160" si="139">IF($N160=0,0,IF((O160/$N160*100)&gt;120,120,O160/$N160*100))</f>
        <v>7.103553782</v>
      </c>
      <c r="W160" s="46">
        <f t="shared" si="139"/>
        <v>0</v>
      </c>
      <c r="X160" s="46">
        <f t="shared" si="139"/>
        <v>0</v>
      </c>
      <c r="Y160" s="46">
        <f t="shared" si="139"/>
        <v>0</v>
      </c>
    </row>
    <row r="161" ht="14.25" customHeight="1">
      <c r="A161" s="1"/>
      <c r="B161" s="37"/>
      <c r="C161" s="39"/>
      <c r="D161" s="109" t="s">
        <v>143</v>
      </c>
      <c r="E161" s="39"/>
      <c r="F161" s="41"/>
      <c r="G161" s="39"/>
      <c r="H161" s="39"/>
      <c r="I161" s="42">
        <f>'Sub Koordinator Modif'!I376+'Sub Koordinator Modif'!I414</f>
        <v>90</v>
      </c>
      <c r="J161" s="110" t="s">
        <v>98</v>
      </c>
      <c r="K161" s="141">
        <f>'Sub Koordinator Modif'!K376+'Sub Koordinator Modif'!K414</f>
        <v>0</v>
      </c>
      <c r="L161" s="141">
        <f>'Sub Koordinator Modif'!L376+'Sub Koordinator Modif'!L414</f>
        <v>0</v>
      </c>
      <c r="M161" s="141">
        <f>'Sub Koordinator Modif'!M376+'Sub Koordinator Modif'!M414</f>
        <v>45</v>
      </c>
      <c r="N161" s="141">
        <f>'Sub Koordinator Modif'!N376+'Sub Koordinator Modif'!N414</f>
        <v>90</v>
      </c>
      <c r="O161" s="141">
        <f>'Sub Koordinator Modif'!O376+'Sub Koordinator Modif'!O414</f>
        <v>0</v>
      </c>
      <c r="P161" s="42"/>
      <c r="Q161" s="42"/>
      <c r="R161" s="42"/>
      <c r="S161" s="111"/>
      <c r="T161" s="111"/>
      <c r="U161" s="111"/>
      <c r="V161" s="111"/>
      <c r="W161" s="111"/>
      <c r="X161" s="111"/>
      <c r="Y161" s="111"/>
    </row>
    <row r="162" ht="14.25" customHeight="1">
      <c r="A162" s="1"/>
      <c r="B162" s="37"/>
      <c r="C162" s="39"/>
      <c r="D162" s="109" t="s">
        <v>144</v>
      </c>
      <c r="E162" s="39"/>
      <c r="F162" s="41"/>
      <c r="G162" s="39"/>
      <c r="H162" s="39"/>
      <c r="I162" s="42">
        <f>'Sub Koordinator Modif'!I382+'Sub Koordinator Modif'!I416</f>
        <v>963</v>
      </c>
      <c r="J162" s="110" t="s">
        <v>98</v>
      </c>
      <c r="K162" s="141">
        <f>'Sub Koordinator Modif'!K382+'Sub Koordinator Modif'!K416</f>
        <v>135</v>
      </c>
      <c r="L162" s="141">
        <f>'Sub Koordinator Modif'!L382+'Sub Koordinator Modif'!L416</f>
        <v>288</v>
      </c>
      <c r="M162" s="141">
        <f>'Sub Koordinator Modif'!M382+'Sub Koordinator Modif'!M416</f>
        <v>555</v>
      </c>
      <c r="N162" s="141">
        <f>'Sub Koordinator Modif'!N382+'Sub Koordinator Modif'!N416</f>
        <v>926</v>
      </c>
      <c r="O162" s="141">
        <f>'Sub Koordinator Modif'!O382+'Sub Koordinator Modif'!O416</f>
        <v>140</v>
      </c>
      <c r="P162" s="42"/>
      <c r="Q162" s="42"/>
      <c r="R162" s="42"/>
      <c r="S162" s="111"/>
      <c r="T162" s="111"/>
      <c r="U162" s="111"/>
      <c r="V162" s="111"/>
      <c r="W162" s="111"/>
      <c r="X162" s="111"/>
      <c r="Y162" s="111"/>
    </row>
    <row r="163" ht="14.25" customHeight="1">
      <c r="A163" s="1"/>
      <c r="B163" s="37"/>
      <c r="C163" s="39"/>
      <c r="D163" s="109" t="s">
        <v>145</v>
      </c>
      <c r="E163" s="39"/>
      <c r="F163" s="41"/>
      <c r="G163" s="39"/>
      <c r="H163" s="39"/>
      <c r="I163" s="42">
        <f>'Sub Koordinator Modif'!I388+'Sub Koordinator Modif'!I419</f>
        <v>190</v>
      </c>
      <c r="J163" s="110" t="s">
        <v>98</v>
      </c>
      <c r="K163" s="141">
        <f>'Sub Koordinator Modif'!K388+'Sub Koordinator Modif'!K419</f>
        <v>10</v>
      </c>
      <c r="L163" s="141">
        <f>'Sub Koordinator Modif'!L388+'Sub Koordinator Modif'!L419</f>
        <v>25</v>
      </c>
      <c r="M163" s="141">
        <f>'Sub Koordinator Modif'!M388+'Sub Koordinator Modif'!M419</f>
        <v>85</v>
      </c>
      <c r="N163" s="141">
        <f>'Sub Koordinator Modif'!N388+'Sub Koordinator Modif'!N419</f>
        <v>171</v>
      </c>
      <c r="O163" s="141">
        <f>'Sub Koordinator Modif'!O388+'Sub Koordinator Modif'!O419</f>
        <v>11</v>
      </c>
      <c r="P163" s="42"/>
      <c r="Q163" s="42"/>
      <c r="R163" s="42"/>
      <c r="S163" s="111"/>
      <c r="T163" s="111"/>
      <c r="U163" s="111"/>
      <c r="V163" s="111"/>
      <c r="W163" s="111"/>
      <c r="X163" s="111"/>
      <c r="Y163" s="111"/>
    </row>
    <row r="164" ht="14.25" customHeight="1">
      <c r="A164" s="1"/>
      <c r="B164" s="37"/>
      <c r="C164" s="39" t="s">
        <v>146</v>
      </c>
      <c r="D164" s="39"/>
      <c r="E164" s="39"/>
      <c r="F164" s="41"/>
      <c r="G164" s="39"/>
      <c r="H164" s="39"/>
      <c r="I164" s="159"/>
      <c r="J164" s="103" t="s">
        <v>35</v>
      </c>
      <c r="K164" s="383">
        <f>('Sub Koordinator Modif'!K394+'Sub Koordinator Modif'!K425)/2</f>
        <v>8.285714286</v>
      </c>
      <c r="L164" s="383">
        <f>('Sub Koordinator Modif'!L394+'Sub Koordinator Modif'!L425)/2</f>
        <v>17.21357143</v>
      </c>
      <c r="M164" s="383">
        <f>('Sub Koordinator Modif'!M394+'Sub Koordinator Modif'!M425)/2</f>
        <v>46.08571429</v>
      </c>
      <c r="N164" s="383">
        <f>('Sub Koordinator Modif'!N394+'Sub Koordinator Modif'!N425)/2</f>
        <v>100</v>
      </c>
      <c r="O164" s="383">
        <f>('Sub Koordinator Modif'!O394+'Sub Koordinator Modif'!O425)/2</f>
        <v>8.628571429</v>
      </c>
      <c r="P164" s="42"/>
      <c r="Q164" s="42"/>
      <c r="R164" s="42"/>
      <c r="S164" s="46">
        <f t="shared" ref="S164:U164" si="140">IF(K164=0,0,IF((O164/K164*100)&gt;120,120,O164/K164*100))</f>
        <v>104.137931</v>
      </c>
      <c r="T164" s="46">
        <f t="shared" si="140"/>
        <v>0</v>
      </c>
      <c r="U164" s="46">
        <f t="shared" si="140"/>
        <v>0</v>
      </c>
      <c r="V164" s="46">
        <f t="shared" ref="V164:Y164" si="141">IF($N164=0,0,IF((O164/$N164*100)&gt;120,120,O164/$N164*100))</f>
        <v>8.628571429</v>
      </c>
      <c r="W164" s="46">
        <f t="shared" si="141"/>
        <v>0</v>
      </c>
      <c r="X164" s="46">
        <f t="shared" si="141"/>
        <v>0</v>
      </c>
      <c r="Y164" s="46">
        <f t="shared" si="141"/>
        <v>0</v>
      </c>
    </row>
    <row r="165" ht="14.25" customHeight="1">
      <c r="A165" s="1"/>
      <c r="B165" s="37"/>
      <c r="C165" s="39"/>
      <c r="D165" s="39"/>
      <c r="E165" s="39"/>
      <c r="F165" s="41"/>
      <c r="G165" s="39"/>
      <c r="H165" s="39"/>
      <c r="I165" s="39"/>
      <c r="J165" s="39"/>
      <c r="K165" s="39"/>
      <c r="L165" s="39"/>
      <c r="M165" s="39"/>
      <c r="N165" s="77"/>
      <c r="O165" s="39"/>
      <c r="P165" s="39"/>
      <c r="Q165" s="39"/>
      <c r="R165" s="39"/>
      <c r="S165" s="39"/>
      <c r="T165" s="39"/>
      <c r="U165" s="39"/>
      <c r="V165" s="39"/>
      <c r="W165" s="39"/>
      <c r="X165" s="39"/>
      <c r="Y165" s="39"/>
    </row>
    <row r="166" ht="14.25" customHeight="1">
      <c r="A166" s="1"/>
      <c r="B166" s="209"/>
      <c r="C166" s="210"/>
      <c r="D166" s="211"/>
      <c r="E166" s="211"/>
      <c r="F166" s="211"/>
      <c r="G166" s="212" t="s">
        <v>479</v>
      </c>
      <c r="H166" s="211"/>
      <c r="I166" s="211"/>
      <c r="J166" s="211"/>
      <c r="K166" s="213"/>
      <c r="L166" s="213"/>
      <c r="M166" s="213"/>
      <c r="N166" s="213"/>
      <c r="O166" s="213"/>
      <c r="P166" s="213"/>
      <c r="Q166" s="213"/>
      <c r="R166" s="213"/>
      <c r="S166" s="214">
        <f t="shared" ref="S166:Y166" si="142">IF(SUM(K152,K155,K158:K160,K164)&gt;0,SUM(S152,S155,S158:S160,S164)/SUM(COUNTIF(K152,"&gt;0"),COUNTIF(K155,"&gt;0"),COUNTIF(K158:K160,"&gt;0"),COUNTIF(K164,"&gt;0")),0)</f>
        <v>103.1867555</v>
      </c>
      <c r="T166" s="214">
        <f t="shared" si="142"/>
        <v>0</v>
      </c>
      <c r="U166" s="214">
        <f t="shared" si="142"/>
        <v>0</v>
      </c>
      <c r="V166" s="214">
        <f t="shared" si="142"/>
        <v>8.177576424</v>
      </c>
      <c r="W166" s="214">
        <f t="shared" si="142"/>
        <v>0</v>
      </c>
      <c r="X166" s="214">
        <f t="shared" si="142"/>
        <v>0</v>
      </c>
      <c r="Y166" s="214">
        <f t="shared" si="142"/>
        <v>0</v>
      </c>
    </row>
    <row r="167" ht="14.25" customHeight="1">
      <c r="A167" s="1"/>
    </row>
    <row r="168" ht="14.25" customHeight="1">
      <c r="A168" s="1"/>
    </row>
    <row r="169" ht="14.25" customHeight="1">
      <c r="A169" s="1"/>
      <c r="B169" s="4" t="s">
        <v>148</v>
      </c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6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</row>
    <row r="170" ht="15.75" customHeight="1">
      <c r="A170" s="1"/>
      <c r="B170" s="215" t="s">
        <v>2</v>
      </c>
      <c r="C170" s="8"/>
      <c r="D170" s="8"/>
      <c r="E170" s="8"/>
      <c r="F170" s="8"/>
      <c r="G170" s="8"/>
      <c r="H170" s="8"/>
      <c r="I170" s="216"/>
      <c r="J170" s="217" t="s">
        <v>3</v>
      </c>
      <c r="K170" s="11"/>
      <c r="L170" s="11"/>
      <c r="M170" s="11"/>
      <c r="N170" s="11"/>
      <c r="O170" s="11"/>
      <c r="P170" s="11"/>
      <c r="Q170" s="11"/>
      <c r="R170" s="12"/>
      <c r="S170" s="217" t="s">
        <v>4</v>
      </c>
      <c r="T170" s="11"/>
      <c r="U170" s="11"/>
      <c r="V170" s="11"/>
      <c r="W170" s="11"/>
      <c r="X170" s="11"/>
      <c r="Y170" s="12"/>
    </row>
    <row r="171" ht="15.0" customHeight="1">
      <c r="A171" s="1"/>
      <c r="B171" s="13"/>
      <c r="I171" s="92"/>
      <c r="J171" s="218" t="s">
        <v>5</v>
      </c>
      <c r="K171" s="219" t="s">
        <v>6</v>
      </c>
      <c r="L171" s="17"/>
      <c r="M171" s="17"/>
      <c r="N171" s="18"/>
      <c r="O171" s="219" t="s">
        <v>7</v>
      </c>
      <c r="P171" s="17"/>
      <c r="Q171" s="17"/>
      <c r="R171" s="18"/>
      <c r="S171" s="219" t="s">
        <v>8</v>
      </c>
      <c r="T171" s="17"/>
      <c r="U171" s="18"/>
      <c r="V171" s="219" t="s">
        <v>9</v>
      </c>
      <c r="W171" s="17"/>
      <c r="X171" s="17"/>
      <c r="Y171" s="18"/>
    </row>
    <row r="172" ht="14.25" customHeight="1">
      <c r="A172" s="1"/>
      <c r="B172" s="19"/>
      <c r="C172" s="20"/>
      <c r="D172" s="20"/>
      <c r="E172" s="20"/>
      <c r="F172" s="20"/>
      <c r="G172" s="20"/>
      <c r="H172" s="20"/>
      <c r="I172" s="21"/>
      <c r="J172" s="22"/>
      <c r="K172" s="220" t="s">
        <v>10</v>
      </c>
      <c r="L172" s="220" t="s">
        <v>11</v>
      </c>
      <c r="M172" s="220" t="s">
        <v>12</v>
      </c>
      <c r="N172" s="220" t="s">
        <v>13</v>
      </c>
      <c r="O172" s="220" t="s">
        <v>10</v>
      </c>
      <c r="P172" s="220" t="s">
        <v>11</v>
      </c>
      <c r="Q172" s="220" t="s">
        <v>12</v>
      </c>
      <c r="R172" s="220" t="s">
        <v>13</v>
      </c>
      <c r="S172" s="220" t="s">
        <v>10</v>
      </c>
      <c r="T172" s="220" t="s">
        <v>11</v>
      </c>
      <c r="U172" s="220" t="s">
        <v>12</v>
      </c>
      <c r="V172" s="220" t="s">
        <v>10</v>
      </c>
      <c r="W172" s="220" t="s">
        <v>11</v>
      </c>
      <c r="X172" s="220" t="s">
        <v>12</v>
      </c>
      <c r="Y172" s="221" t="s">
        <v>13</v>
      </c>
      <c r="Z172" s="25"/>
    </row>
    <row r="173" ht="14.25" customHeight="1">
      <c r="A173" s="1"/>
      <c r="B173" s="222">
        <v>-1.0</v>
      </c>
      <c r="C173" s="27"/>
      <c r="D173" s="27"/>
      <c r="E173" s="27"/>
      <c r="F173" s="27"/>
      <c r="G173" s="27"/>
      <c r="H173" s="27"/>
      <c r="I173" s="223"/>
      <c r="J173" s="224">
        <v>-2.0</v>
      </c>
      <c r="K173" s="224">
        <v>-3.0</v>
      </c>
      <c r="L173" s="224">
        <v>-4.0</v>
      </c>
      <c r="M173" s="224">
        <v>-5.0</v>
      </c>
      <c r="N173" s="224">
        <v>-6.0</v>
      </c>
      <c r="O173" s="224">
        <v>-7.0</v>
      </c>
      <c r="P173" s="224">
        <v>-8.0</v>
      </c>
      <c r="Q173" s="224">
        <v>-9.0</v>
      </c>
      <c r="R173" s="224">
        <v>-10.0</v>
      </c>
      <c r="S173" s="224">
        <v>-11.0</v>
      </c>
      <c r="T173" s="224">
        <v>-12.0</v>
      </c>
      <c r="U173" s="224">
        <v>-13.0</v>
      </c>
      <c r="V173" s="224">
        <v>-14.0</v>
      </c>
      <c r="W173" s="224">
        <v>-15.0</v>
      </c>
      <c r="X173" s="224">
        <v>-16.0</v>
      </c>
      <c r="Y173" s="224">
        <v>-17.0</v>
      </c>
      <c r="Z173" s="25"/>
    </row>
    <row r="174" ht="14.25" customHeight="1">
      <c r="A174" s="1"/>
      <c r="B174" s="32"/>
      <c r="C174" s="33"/>
      <c r="D174" s="33"/>
      <c r="E174" s="33"/>
      <c r="F174" s="34"/>
      <c r="G174" s="35"/>
      <c r="H174" s="35"/>
      <c r="I174" s="35"/>
      <c r="J174" s="35"/>
      <c r="K174" s="35"/>
      <c r="L174" s="35"/>
      <c r="M174" s="35"/>
      <c r="N174" s="102"/>
      <c r="O174" s="35"/>
      <c r="P174" s="35"/>
      <c r="Q174" s="35"/>
      <c r="R174" s="35"/>
      <c r="S174" s="35"/>
      <c r="T174" s="35"/>
      <c r="U174" s="35"/>
      <c r="V174" s="35"/>
      <c r="W174" s="35"/>
      <c r="X174" s="35"/>
      <c r="Y174" s="35"/>
    </row>
    <row r="175" ht="14.25" customHeight="1">
      <c r="A175" s="1"/>
      <c r="B175" s="37"/>
      <c r="C175" s="39" t="s">
        <v>149</v>
      </c>
      <c r="D175" s="39"/>
      <c r="E175" s="39"/>
      <c r="F175" s="39"/>
      <c r="G175" s="39"/>
      <c r="H175" s="39"/>
      <c r="I175" s="103"/>
      <c r="J175" s="103" t="s">
        <v>98</v>
      </c>
      <c r="K175" s="42">
        <f>'Sub Koordinator Modif'!K468</f>
        <v>0</v>
      </c>
      <c r="L175" s="42">
        <f>'Sub Koordinator Modif'!L468</f>
        <v>0</v>
      </c>
      <c r="M175" s="42">
        <f>'Sub Koordinator Modif'!M468</f>
        <v>1562</v>
      </c>
      <c r="N175" s="42">
        <f>'Sub Koordinator Modif'!N468</f>
        <v>1562</v>
      </c>
      <c r="O175" s="42">
        <f>'Sub Koordinator Modif'!O468</f>
        <v>0</v>
      </c>
      <c r="P175" s="42">
        <f>'Sub Koordinator Modif'!P468</f>
        <v>0</v>
      </c>
      <c r="Q175" s="42">
        <f>'Sub Koordinator Modif'!Q468</f>
        <v>1562</v>
      </c>
      <c r="R175" s="42">
        <f>'Sub Koordinator Modif'!R468</f>
        <v>1562</v>
      </c>
      <c r="S175" s="46">
        <f t="shared" ref="S175:U175" si="143">IF(K175=0,0,IF((O175/K175*100)&gt;120,120,O175/K175*100))</f>
        <v>0</v>
      </c>
      <c r="T175" s="46">
        <f t="shared" si="143"/>
        <v>0</v>
      </c>
      <c r="U175" s="46">
        <f t="shared" si="143"/>
        <v>100</v>
      </c>
      <c r="V175" s="46">
        <f t="shared" ref="V175:Y175" si="144">IF($N175=0,0,IF((O175/$N175*100)&gt;120,120,O175/$N175*100))</f>
        <v>0</v>
      </c>
      <c r="W175" s="46">
        <f t="shared" si="144"/>
        <v>0</v>
      </c>
      <c r="X175" s="46">
        <f t="shared" si="144"/>
        <v>100</v>
      </c>
      <c r="Y175" s="46">
        <f t="shared" si="144"/>
        <v>100</v>
      </c>
    </row>
    <row r="176" ht="14.25" customHeight="1">
      <c r="A176" s="1"/>
      <c r="B176" s="37"/>
      <c r="C176" s="39" t="s">
        <v>150</v>
      </c>
      <c r="D176" s="39"/>
      <c r="E176" s="39"/>
      <c r="F176" s="39"/>
      <c r="G176" s="39"/>
      <c r="H176" s="39"/>
      <c r="I176" s="103"/>
      <c r="J176" s="103" t="s">
        <v>98</v>
      </c>
      <c r="K176" s="42">
        <f>'Sub Koordinator Modif'!K469</f>
        <v>0</v>
      </c>
      <c r="L176" s="42">
        <f>'Sub Koordinator Modif'!L469</f>
        <v>0</v>
      </c>
      <c r="M176" s="42">
        <f>'Sub Koordinator Modif'!M469</f>
        <v>15698</v>
      </c>
      <c r="N176" s="42">
        <f>'Sub Koordinator Modif'!N469</f>
        <v>15698</v>
      </c>
      <c r="O176" s="42">
        <f>'Sub Koordinator Modif'!O469</f>
        <v>0</v>
      </c>
      <c r="P176" s="42">
        <f>'Sub Koordinator Modif'!P469</f>
        <v>0</v>
      </c>
      <c r="Q176" s="42">
        <f>'Sub Koordinator Modif'!Q469</f>
        <v>15698</v>
      </c>
      <c r="R176" s="42">
        <f>'Sub Koordinator Modif'!R469</f>
        <v>15698</v>
      </c>
      <c r="S176" s="46">
        <f t="shared" ref="S176:U176" si="145">IF(K176=0,0,IF((O176/K176*100)&gt;120,120,O176/K176*100))</f>
        <v>0</v>
      </c>
      <c r="T176" s="46">
        <f t="shared" si="145"/>
        <v>0</v>
      </c>
      <c r="U176" s="46">
        <f t="shared" si="145"/>
        <v>100</v>
      </c>
      <c r="V176" s="46">
        <f t="shared" ref="V176:Y176" si="146">IF($N176=0,0,IF((O176/$N176*100)&gt;120,120,O176/$N176*100))</f>
        <v>0</v>
      </c>
      <c r="W176" s="46">
        <f t="shared" si="146"/>
        <v>0</v>
      </c>
      <c r="X176" s="46">
        <f t="shared" si="146"/>
        <v>100</v>
      </c>
      <c r="Y176" s="46">
        <f t="shared" si="146"/>
        <v>100</v>
      </c>
    </row>
    <row r="177" ht="14.25" customHeight="1">
      <c r="A177" s="1"/>
      <c r="B177" s="37"/>
      <c r="C177" s="39" t="s">
        <v>151</v>
      </c>
      <c r="D177" s="39"/>
      <c r="E177" s="39"/>
      <c r="F177" s="39"/>
      <c r="G177" s="39"/>
      <c r="H177" s="39"/>
      <c r="I177" s="103"/>
      <c r="J177" s="103" t="s">
        <v>35</v>
      </c>
      <c r="K177" s="42">
        <f>'Sub Koordinator Modif'!K481</f>
        <v>0</v>
      </c>
      <c r="L177" s="42">
        <f>'Sub Koordinator Modif'!L481</f>
        <v>0</v>
      </c>
      <c r="M177" s="42">
        <f>'Sub Koordinator Modif'!M481</f>
        <v>60</v>
      </c>
      <c r="N177" s="42">
        <f>'Sub Koordinator Modif'!N481</f>
        <v>100</v>
      </c>
      <c r="O177" s="42">
        <f>'Sub Koordinator Modif'!O481</f>
        <v>0</v>
      </c>
      <c r="P177" s="42">
        <f>'Sub Koordinator Modif'!P481</f>
        <v>52.86</v>
      </c>
      <c r="Q177" s="42">
        <f>'Sub Koordinator Modif'!Q481</f>
        <v>100</v>
      </c>
      <c r="R177" s="42" t="str">
        <f>'Sub Koordinator Modif'!R481</f>
        <v/>
      </c>
      <c r="S177" s="46">
        <f t="shared" ref="S177:U177" si="147">IF(K177=0,0,IF((O177/K177*100)&gt;120,120,O177/K177*100))</f>
        <v>0</v>
      </c>
      <c r="T177" s="46">
        <f t="shared" si="147"/>
        <v>0</v>
      </c>
      <c r="U177" s="46">
        <f t="shared" si="147"/>
        <v>120</v>
      </c>
      <c r="V177" s="46">
        <f t="shared" ref="V177:Y177" si="148">IF($N177=0,0,IF((O177/$N177*100)&gt;120,120,O177/$N177*100))</f>
        <v>0</v>
      </c>
      <c r="W177" s="46">
        <f t="shared" si="148"/>
        <v>52.86</v>
      </c>
      <c r="X177" s="46">
        <f t="shared" si="148"/>
        <v>100</v>
      </c>
      <c r="Y177" s="46">
        <f t="shared" si="148"/>
        <v>0</v>
      </c>
    </row>
    <row r="178" ht="14.25" customHeight="1">
      <c r="A178" s="1"/>
      <c r="B178" s="37"/>
      <c r="C178" s="39" t="s">
        <v>152</v>
      </c>
      <c r="D178" s="39"/>
      <c r="E178" s="39"/>
      <c r="F178" s="39"/>
      <c r="G178" s="39"/>
      <c r="H178" s="39"/>
      <c r="I178" s="103"/>
      <c r="J178" s="103" t="s">
        <v>35</v>
      </c>
      <c r="K178" s="42">
        <f>'Sub Koordinator Modif'!K482</f>
        <v>5</v>
      </c>
      <c r="L178" s="42">
        <f>'Sub Koordinator Modif'!L482</f>
        <v>17</v>
      </c>
      <c r="M178" s="42">
        <f>'Sub Koordinator Modif'!M482</f>
        <v>26</v>
      </c>
      <c r="N178" s="42">
        <f>'Sub Koordinator Modif'!N482</f>
        <v>42</v>
      </c>
      <c r="O178" s="42">
        <f>'Sub Koordinator Modif'!O482</f>
        <v>5</v>
      </c>
      <c r="P178" s="42">
        <f>'Sub Koordinator Modif'!P482</f>
        <v>17</v>
      </c>
      <c r="Q178" s="42">
        <f>'Sub Koordinator Modif'!Q482</f>
        <v>26</v>
      </c>
      <c r="R178" s="42" t="str">
        <f>'Sub Koordinator Modif'!R482</f>
        <v/>
      </c>
      <c r="S178" s="46">
        <f t="shared" ref="S178:U178" si="149">IF(K178=0,0,IF((O178/K178*100)&gt;120,120,O178/K178*100))</f>
        <v>100</v>
      </c>
      <c r="T178" s="46">
        <f t="shared" si="149"/>
        <v>100</v>
      </c>
      <c r="U178" s="46">
        <f t="shared" si="149"/>
        <v>100</v>
      </c>
      <c r="V178" s="46">
        <f t="shared" ref="V178:Y178" si="150">IF($N178=0,0,IF((O178/$N178*100)&gt;120,120,O178/$N178*100))</f>
        <v>11.9047619</v>
      </c>
      <c r="W178" s="46">
        <f t="shared" si="150"/>
        <v>40.47619048</v>
      </c>
      <c r="X178" s="46">
        <f t="shared" si="150"/>
        <v>61.9047619</v>
      </c>
      <c r="Y178" s="46">
        <f t="shared" si="150"/>
        <v>0</v>
      </c>
    </row>
    <row r="179" ht="14.25" customHeight="1">
      <c r="A179" s="1"/>
      <c r="B179" s="37"/>
      <c r="C179" s="39" t="s">
        <v>153</v>
      </c>
      <c r="D179" s="39"/>
      <c r="E179" s="39"/>
      <c r="F179" s="39"/>
      <c r="G179" s="39"/>
      <c r="H179" s="39"/>
      <c r="I179" s="103"/>
      <c r="J179" s="103" t="s">
        <v>85</v>
      </c>
      <c r="K179" s="42">
        <f>'Sub Koordinator Modif'!K483</f>
        <v>1</v>
      </c>
      <c r="L179" s="42">
        <f>'Sub Koordinator Modif'!L483</f>
        <v>3</v>
      </c>
      <c r="M179" s="42">
        <f>'Sub Koordinator Modif'!M483</f>
        <v>5</v>
      </c>
      <c r="N179" s="42">
        <f>'Sub Koordinator Modif'!N483</f>
        <v>8</v>
      </c>
      <c r="O179" s="42">
        <f>'Sub Koordinator Modif'!O483</f>
        <v>1</v>
      </c>
      <c r="P179" s="42">
        <f>'Sub Koordinator Modif'!P483</f>
        <v>4</v>
      </c>
      <c r="Q179" s="42">
        <f>'Sub Koordinator Modif'!Q483</f>
        <v>6</v>
      </c>
      <c r="R179" s="42" t="str">
        <f>'Sub Koordinator Modif'!R483</f>
        <v/>
      </c>
      <c r="S179" s="46">
        <f t="shared" ref="S179:U179" si="151">IF(K179=0,0,IF((O179/K179*100)&gt;120,120,O179/K179*100))</f>
        <v>100</v>
      </c>
      <c r="T179" s="46">
        <f t="shared" si="151"/>
        <v>120</v>
      </c>
      <c r="U179" s="46">
        <f t="shared" si="151"/>
        <v>120</v>
      </c>
      <c r="V179" s="46">
        <f t="shared" ref="V179:Y179" si="152">IF($N179=0,0,IF((O179/$N179*100)&gt;120,120,O179/$N179*100))</f>
        <v>12.5</v>
      </c>
      <c r="W179" s="46">
        <f t="shared" si="152"/>
        <v>50</v>
      </c>
      <c r="X179" s="46">
        <f t="shared" si="152"/>
        <v>75</v>
      </c>
      <c r="Y179" s="46">
        <f t="shared" si="152"/>
        <v>0</v>
      </c>
    </row>
    <row r="180" ht="14.25" customHeight="1">
      <c r="A180" s="1"/>
      <c r="B180" s="37"/>
      <c r="C180" s="39" t="s">
        <v>154</v>
      </c>
      <c r="D180" s="39"/>
      <c r="E180" s="39"/>
      <c r="F180" s="39"/>
      <c r="G180" s="39"/>
      <c r="H180" s="39"/>
      <c r="I180" s="103"/>
      <c r="J180" s="103" t="s">
        <v>155</v>
      </c>
      <c r="K180" s="42">
        <f>'Sub Koordinator Modif'!K484</f>
        <v>0</v>
      </c>
      <c r="L180" s="42">
        <f>'Sub Koordinator Modif'!L484</f>
        <v>0</v>
      </c>
      <c r="M180" s="42">
        <f>'Sub Koordinator Modif'!M484</f>
        <v>0</v>
      </c>
      <c r="N180" s="42">
        <f>'Sub Koordinator Modif'!N484</f>
        <v>8</v>
      </c>
      <c r="O180" s="42">
        <f>'Sub Koordinator Modif'!O484</f>
        <v>0</v>
      </c>
      <c r="P180" s="42">
        <f>'Sub Koordinator Modif'!P484</f>
        <v>0</v>
      </c>
      <c r="Q180" s="42">
        <f>'Sub Koordinator Modif'!Q484</f>
        <v>6</v>
      </c>
      <c r="R180" s="42" t="str">
        <f>'Sub Koordinator Modif'!R484</f>
        <v/>
      </c>
      <c r="S180" s="46">
        <f t="shared" ref="S180:U180" si="153">IF(K180=0,0,IF((O180/K180*100)&gt;120,120,O180/K180*100))</f>
        <v>0</v>
      </c>
      <c r="T180" s="46">
        <f t="shared" si="153"/>
        <v>0</v>
      </c>
      <c r="U180" s="46">
        <f t="shared" si="153"/>
        <v>0</v>
      </c>
      <c r="V180" s="46">
        <f t="shared" ref="V180:Y180" si="154">IF($N180=0,0,IF((O180/$N180*100)&gt;120,120,O180/$N180*100))</f>
        <v>0</v>
      </c>
      <c r="W180" s="46">
        <f t="shared" si="154"/>
        <v>0</v>
      </c>
      <c r="X180" s="46">
        <f t="shared" si="154"/>
        <v>75</v>
      </c>
      <c r="Y180" s="46">
        <f t="shared" si="154"/>
        <v>0</v>
      </c>
    </row>
    <row r="181" ht="14.25" customHeight="1">
      <c r="A181" s="1"/>
      <c r="B181" s="37"/>
      <c r="C181" s="39" t="s">
        <v>156</v>
      </c>
      <c r="D181" s="39"/>
      <c r="E181" s="39"/>
      <c r="F181" s="39"/>
      <c r="G181" s="39"/>
      <c r="H181" s="39"/>
      <c r="I181" s="103"/>
      <c r="J181" s="103" t="s">
        <v>155</v>
      </c>
      <c r="K181" s="42">
        <f>'Sub Koordinator Modif'!K485</f>
        <v>2</v>
      </c>
      <c r="L181" s="42">
        <f>'Sub Koordinator Modif'!L485</f>
        <v>3</v>
      </c>
      <c r="M181" s="42">
        <f>'Sub Koordinator Modif'!M485</f>
        <v>4</v>
      </c>
      <c r="N181" s="42">
        <f>'Sub Koordinator Modif'!N485</f>
        <v>6</v>
      </c>
      <c r="O181" s="42">
        <f>'Sub Koordinator Modif'!O485</f>
        <v>3</v>
      </c>
      <c r="P181" s="42">
        <f>'Sub Koordinator Modif'!P485</f>
        <v>11</v>
      </c>
      <c r="Q181" s="42">
        <f>'Sub Koordinator Modif'!Q485</f>
        <v>18</v>
      </c>
      <c r="R181" s="42" t="str">
        <f>'Sub Koordinator Modif'!R485</f>
        <v/>
      </c>
      <c r="S181" s="46">
        <f t="shared" ref="S181:U181" si="155">IF(K181=0,0,IF((O181/K181*100)&gt;120,120,O181/K181*100))</f>
        <v>120</v>
      </c>
      <c r="T181" s="46">
        <f t="shared" si="155"/>
        <v>120</v>
      </c>
      <c r="U181" s="46">
        <f t="shared" si="155"/>
        <v>120</v>
      </c>
      <c r="V181" s="46">
        <f t="shared" ref="V181:Y181" si="156">IF($N181=0,0,IF((O181/$N181*100)&gt;120,120,O181/$N181*100))</f>
        <v>50</v>
      </c>
      <c r="W181" s="46">
        <f t="shared" si="156"/>
        <v>120</v>
      </c>
      <c r="X181" s="46">
        <f t="shared" si="156"/>
        <v>120</v>
      </c>
      <c r="Y181" s="46">
        <f t="shared" si="156"/>
        <v>0</v>
      </c>
    </row>
    <row r="182" ht="14.25" customHeight="1">
      <c r="A182" s="1"/>
      <c r="B182" s="37"/>
      <c r="C182" s="39" t="s">
        <v>157</v>
      </c>
      <c r="D182" s="39"/>
      <c r="E182" s="39"/>
      <c r="F182" s="39"/>
      <c r="G182" s="39"/>
      <c r="H182" s="39"/>
      <c r="I182" s="103"/>
      <c r="J182" s="103" t="s">
        <v>158</v>
      </c>
      <c r="K182" s="42">
        <f>'Sub Koordinator Modif'!K486</f>
        <v>0</v>
      </c>
      <c r="L182" s="42">
        <f>'Sub Koordinator Modif'!L486</f>
        <v>0</v>
      </c>
      <c r="M182" s="42">
        <f>'Sub Koordinator Modif'!M486</f>
        <v>0</v>
      </c>
      <c r="N182" s="42">
        <f>'Sub Koordinator Modif'!N486</f>
        <v>18</v>
      </c>
      <c r="O182" s="42">
        <f>'Sub Koordinator Modif'!O486</f>
        <v>0</v>
      </c>
      <c r="P182" s="42">
        <f>'Sub Koordinator Modif'!P486</f>
        <v>0</v>
      </c>
      <c r="Q182" s="42">
        <f>'Sub Koordinator Modif'!Q486</f>
        <v>1</v>
      </c>
      <c r="R182" s="42" t="str">
        <f>'Sub Koordinator Modif'!R486</f>
        <v/>
      </c>
      <c r="S182" s="46">
        <f t="shared" ref="S182:U182" si="157">IF(K182=0,0,IF((O182/K182*100)&gt;120,120,O182/K182*100))</f>
        <v>0</v>
      </c>
      <c r="T182" s="46">
        <f t="shared" si="157"/>
        <v>0</v>
      </c>
      <c r="U182" s="46">
        <f t="shared" si="157"/>
        <v>0</v>
      </c>
      <c r="V182" s="46">
        <f t="shared" ref="V182:Y182" si="158">IF($N182=0,0,IF((O182/$N182*100)&gt;120,120,O182/$N182*100))</f>
        <v>0</v>
      </c>
      <c r="W182" s="46">
        <f t="shared" si="158"/>
        <v>0</v>
      </c>
      <c r="X182" s="46">
        <f t="shared" si="158"/>
        <v>5.555555556</v>
      </c>
      <c r="Y182" s="46">
        <f t="shared" si="158"/>
        <v>0</v>
      </c>
    </row>
    <row r="183" ht="16.5" customHeight="1">
      <c r="A183" s="1"/>
      <c r="B183" s="37"/>
      <c r="C183" s="39" t="s">
        <v>159</v>
      </c>
      <c r="D183" s="39"/>
      <c r="E183" s="39"/>
      <c r="F183" s="39"/>
      <c r="G183" s="39"/>
      <c r="H183" s="39"/>
      <c r="I183" s="103"/>
      <c r="J183" s="103" t="s">
        <v>160</v>
      </c>
      <c r="K183" s="42">
        <f>'Sub Koordinator Modif'!K487</f>
        <v>0</v>
      </c>
      <c r="L183" s="42">
        <f>'Sub Koordinator Modif'!L487</f>
        <v>0</v>
      </c>
      <c r="M183" s="42">
        <f>'Sub Koordinator Modif'!M487</f>
        <v>0</v>
      </c>
      <c r="N183" s="42">
        <f>'Sub Koordinator Modif'!N487</f>
        <v>0</v>
      </c>
      <c r="O183" s="42">
        <f>'Sub Koordinator Modif'!O487</f>
        <v>0</v>
      </c>
      <c r="P183" s="42">
        <f>'Sub Koordinator Modif'!P487</f>
        <v>0</v>
      </c>
      <c r="Q183" s="42">
        <f>'Sub Koordinator Modif'!Q487</f>
        <v>0</v>
      </c>
      <c r="R183" s="42" t="str">
        <f>'Sub Koordinator Modif'!R487</f>
        <v/>
      </c>
      <c r="S183" s="46">
        <f t="shared" ref="S183:U183" si="159">IF(K183=0,0,IF((O183/K183*100)&gt;120,120,O183/K183*100))</f>
        <v>0</v>
      </c>
      <c r="T183" s="46">
        <f t="shared" si="159"/>
        <v>0</v>
      </c>
      <c r="U183" s="46">
        <f t="shared" si="159"/>
        <v>0</v>
      </c>
      <c r="V183" s="46">
        <f t="shared" ref="V183:Y183" si="160">IF($N183=0,0,IF((O183/$N183*100)&gt;120,120,O183/$N183*100))</f>
        <v>0</v>
      </c>
      <c r="W183" s="46">
        <f t="shared" si="160"/>
        <v>0</v>
      </c>
      <c r="X183" s="46">
        <f t="shared" si="160"/>
        <v>0</v>
      </c>
      <c r="Y183" s="46">
        <f t="shared" si="160"/>
        <v>0</v>
      </c>
    </row>
    <row r="184" ht="14.25" customHeight="1">
      <c r="A184" s="1"/>
      <c r="B184" s="37"/>
      <c r="C184" s="39" t="s">
        <v>161</v>
      </c>
      <c r="D184" s="39"/>
      <c r="E184" s="39"/>
      <c r="F184" s="39"/>
      <c r="G184" s="39"/>
      <c r="H184" s="39"/>
      <c r="I184" s="103"/>
      <c r="J184" s="103" t="s">
        <v>160</v>
      </c>
      <c r="K184" s="42">
        <f>'Sub Koordinator Modif'!K488</f>
        <v>0</v>
      </c>
      <c r="L184" s="42">
        <f>'Sub Koordinator Modif'!L488</f>
        <v>0</v>
      </c>
      <c r="M184" s="42">
        <f>'Sub Koordinator Modif'!M488</f>
        <v>0</v>
      </c>
      <c r="N184" s="42">
        <f>'Sub Koordinator Modif'!N488</f>
        <v>93</v>
      </c>
      <c r="O184" s="42">
        <f>'Sub Koordinator Modif'!O488</f>
        <v>0</v>
      </c>
      <c r="P184" s="42">
        <f>'Sub Koordinator Modif'!P488</f>
        <v>0</v>
      </c>
      <c r="Q184" s="42">
        <f>'Sub Koordinator Modif'!Q488</f>
        <v>93.7</v>
      </c>
      <c r="R184" s="42" t="str">
        <f>'Sub Koordinator Modif'!R488</f>
        <v/>
      </c>
      <c r="S184" s="46">
        <f t="shared" ref="S184:U184" si="161">IF(K184=0,0,IF((O184/K184*100)&gt;120,120,O184/K184*100))</f>
        <v>0</v>
      </c>
      <c r="T184" s="46">
        <f t="shared" si="161"/>
        <v>0</v>
      </c>
      <c r="U184" s="46">
        <f t="shared" si="161"/>
        <v>0</v>
      </c>
      <c r="V184" s="46">
        <f t="shared" ref="V184:Y184" si="162">IF($N184=0,0,IF((O184/$N184*100)&gt;120,120,O184/$N184*100))</f>
        <v>0</v>
      </c>
      <c r="W184" s="46">
        <f t="shared" si="162"/>
        <v>0</v>
      </c>
      <c r="X184" s="46">
        <f t="shared" si="162"/>
        <v>100.7526882</v>
      </c>
      <c r="Y184" s="46">
        <f t="shared" si="162"/>
        <v>0</v>
      </c>
    </row>
    <row r="185" ht="14.25" customHeight="1">
      <c r="A185" s="1"/>
      <c r="B185" s="37"/>
      <c r="C185" s="39" t="s">
        <v>162</v>
      </c>
      <c r="D185" s="39"/>
      <c r="E185" s="39"/>
      <c r="F185" s="41"/>
      <c r="G185" s="39"/>
      <c r="H185" s="39"/>
      <c r="I185" s="103"/>
      <c r="J185" s="103" t="s">
        <v>163</v>
      </c>
      <c r="K185" s="42">
        <f>'Sub Koordinator Modif'!K489</f>
        <v>3000</v>
      </c>
      <c r="L185" s="42">
        <f>'Sub Koordinator Modif'!L489</f>
        <v>4000</v>
      </c>
      <c r="M185" s="42">
        <f>'Sub Koordinator Modif'!M489</f>
        <v>5000</v>
      </c>
      <c r="N185" s="42">
        <f>'Sub Koordinator Modif'!N489</f>
        <v>7000</v>
      </c>
      <c r="O185" s="42">
        <f>'Sub Koordinator Modif'!O489</f>
        <v>25795</v>
      </c>
      <c r="P185" s="42">
        <f>'Sub Koordinator Modif'!P489</f>
        <v>49739</v>
      </c>
      <c r="Q185" s="42">
        <f>'Sub Koordinator Modif'!Q489</f>
        <v>77333</v>
      </c>
      <c r="R185" s="42" t="str">
        <f>'Sub Koordinator Modif'!R489</f>
        <v/>
      </c>
      <c r="S185" s="46">
        <f t="shared" ref="S185:U185" si="163">IF(K185=0,0,IF((O185/K185*100)&gt;120,120,O185/K185*100))</f>
        <v>120</v>
      </c>
      <c r="T185" s="46">
        <f t="shared" si="163"/>
        <v>120</v>
      </c>
      <c r="U185" s="46">
        <f t="shared" si="163"/>
        <v>120</v>
      </c>
      <c r="V185" s="46">
        <f t="shared" ref="V185:Y185" si="164">IF($N185=0,0,IF((O185/$N185*100)&gt;120,120,O185/$N185*100))</f>
        <v>120</v>
      </c>
      <c r="W185" s="46">
        <f t="shared" si="164"/>
        <v>120</v>
      </c>
      <c r="X185" s="46">
        <f t="shared" si="164"/>
        <v>120</v>
      </c>
      <c r="Y185" s="46">
        <f t="shared" si="164"/>
        <v>0</v>
      </c>
    </row>
    <row r="186" ht="14.25" customHeight="1">
      <c r="A186" s="1"/>
      <c r="B186" s="37"/>
      <c r="C186" s="39" t="s">
        <v>164</v>
      </c>
      <c r="D186" s="39"/>
      <c r="E186" s="39"/>
      <c r="F186" s="41"/>
      <c r="G186" s="39"/>
      <c r="H186" s="39"/>
      <c r="I186" s="103"/>
      <c r="J186" s="103" t="s">
        <v>165</v>
      </c>
      <c r="K186" s="42" t="str">
        <f>'Sub Koordinator Modif'!K490</f>
        <v/>
      </c>
      <c r="L186" s="42" t="str">
        <f>'Sub Koordinator Modif'!L490</f>
        <v/>
      </c>
      <c r="M186" s="42" t="str">
        <f>'Sub Koordinator Modif'!M490</f>
        <v/>
      </c>
      <c r="N186" s="42" t="str">
        <f>'Sub Koordinator Modif'!N490</f>
        <v/>
      </c>
      <c r="O186" s="42" t="str">
        <f>'Sub Koordinator Modif'!O490</f>
        <v/>
      </c>
      <c r="P186" s="42" t="str">
        <f>'Sub Koordinator Modif'!P490</f>
        <v/>
      </c>
      <c r="Q186" s="42" t="str">
        <f>'Sub Koordinator Modif'!Q490</f>
        <v/>
      </c>
      <c r="R186" s="42" t="str">
        <f>'Sub Koordinator Modif'!R490</f>
        <v/>
      </c>
      <c r="S186" s="46">
        <f t="shared" ref="S186:U186" si="165">IF(K186=0,0,IF((O186/K186*100)&gt;120,120,O186/K186*100))</f>
        <v>0</v>
      </c>
      <c r="T186" s="46">
        <f t="shared" si="165"/>
        <v>0</v>
      </c>
      <c r="U186" s="46">
        <f t="shared" si="165"/>
        <v>0</v>
      </c>
      <c r="V186" s="46">
        <f t="shared" ref="V186:Y186" si="166">IF($N186=0,0,IF((O186/$N186*100)&gt;120,120,O186/$N186*100))</f>
        <v>0</v>
      </c>
      <c r="W186" s="46">
        <f t="shared" si="166"/>
        <v>0</v>
      </c>
      <c r="X186" s="46">
        <f t="shared" si="166"/>
        <v>0</v>
      </c>
      <c r="Y186" s="46">
        <f t="shared" si="166"/>
        <v>0</v>
      </c>
    </row>
    <row r="187" ht="14.25" customHeight="1">
      <c r="A187" s="1"/>
      <c r="B187" s="37"/>
      <c r="C187" s="39"/>
      <c r="D187" s="39"/>
      <c r="E187" s="39"/>
      <c r="F187" s="41"/>
      <c r="G187" s="39"/>
      <c r="H187" s="39"/>
      <c r="I187" s="39"/>
      <c r="J187" s="103"/>
      <c r="K187" s="42" t="str">
        <f>'Sub Koordinator Modif'!K491</f>
        <v/>
      </c>
      <c r="L187" s="39"/>
      <c r="M187" s="39"/>
      <c r="N187" s="77"/>
      <c r="O187" s="39"/>
      <c r="P187" s="39"/>
      <c r="Q187" s="39"/>
      <c r="R187" s="39"/>
      <c r="S187" s="39"/>
      <c r="T187" s="39"/>
      <c r="U187" s="39"/>
      <c r="V187" s="39"/>
      <c r="W187" s="39"/>
      <c r="X187" s="39"/>
      <c r="Y187" s="39"/>
    </row>
    <row r="188" ht="14.25" customHeight="1">
      <c r="A188" s="1"/>
      <c r="B188" s="230"/>
      <c r="C188" s="231"/>
      <c r="D188" s="232"/>
      <c r="E188" s="232"/>
      <c r="F188" s="232"/>
      <c r="G188" s="233" t="s">
        <v>480</v>
      </c>
      <c r="H188" s="232"/>
      <c r="I188" s="232"/>
      <c r="J188" s="232"/>
      <c r="K188" s="234"/>
      <c r="L188" s="234"/>
      <c r="M188" s="234"/>
      <c r="N188" s="234"/>
      <c r="O188" s="234"/>
      <c r="P188" s="234"/>
      <c r="Q188" s="234"/>
      <c r="R188" s="234"/>
      <c r="S188" s="235">
        <f t="shared" ref="S188:U188" si="167">IF(SUM(K175:K186)&gt;0,SUM(S175:S186)/COUNTIF(K175:K186,"&gt;0"),0)</f>
        <v>110</v>
      </c>
      <c r="T188" s="235">
        <f t="shared" si="167"/>
        <v>115</v>
      </c>
      <c r="U188" s="235">
        <f t="shared" si="167"/>
        <v>111.4285714</v>
      </c>
      <c r="V188" s="235">
        <f t="shared" ref="V188:Y188" si="168">IF(SUM($N175:$N186)&gt;0,SUM(V175:V186)/COUNTIF($N175:$N186,"&gt;0"),0)</f>
        <v>19.44047619</v>
      </c>
      <c r="W188" s="235">
        <f t="shared" si="168"/>
        <v>38.33361905</v>
      </c>
      <c r="X188" s="235">
        <f t="shared" si="168"/>
        <v>85.82130056</v>
      </c>
      <c r="Y188" s="235">
        <f t="shared" si="168"/>
        <v>20</v>
      </c>
    </row>
    <row r="189" ht="14.25" customHeight="1">
      <c r="A189" s="1"/>
    </row>
    <row r="190" ht="14.25" customHeight="1">
      <c r="A190" s="1"/>
    </row>
    <row r="191" ht="14.25" customHeight="1">
      <c r="A191" s="1"/>
    </row>
    <row r="192" ht="14.25" customHeight="1">
      <c r="A192" s="1"/>
    </row>
    <row r="193" ht="14.25" customHeight="1">
      <c r="A193" s="1"/>
      <c r="G193" s="5"/>
    </row>
    <row r="194" ht="14.25" customHeight="1">
      <c r="A194" s="1"/>
    </row>
    <row r="195" ht="14.25" customHeight="1">
      <c r="A195" s="1"/>
    </row>
    <row r="196" ht="14.25" customHeight="1">
      <c r="A196" s="1"/>
    </row>
    <row r="197" ht="14.25" customHeight="1">
      <c r="A197" s="1"/>
    </row>
    <row r="198" ht="14.25" customHeight="1">
      <c r="A198" s="1"/>
    </row>
    <row r="199" ht="14.25" customHeight="1">
      <c r="A199" s="1"/>
    </row>
    <row r="200" ht="14.25" customHeight="1">
      <c r="A200" s="1"/>
    </row>
    <row r="201" ht="14.25" customHeight="1">
      <c r="A201" s="1"/>
    </row>
    <row r="202" ht="14.25" customHeight="1">
      <c r="A202" s="1"/>
    </row>
    <row r="203" ht="14.25" customHeight="1">
      <c r="A203" s="1"/>
    </row>
    <row r="204" ht="14.25" customHeight="1">
      <c r="A204" s="1"/>
    </row>
    <row r="205" ht="14.25" customHeight="1">
      <c r="A205" s="1"/>
    </row>
    <row r="206" ht="14.25" customHeight="1">
      <c r="A206" s="1"/>
    </row>
    <row r="207" ht="14.25" customHeight="1">
      <c r="A207" s="1"/>
    </row>
    <row r="208" ht="14.25" customHeight="1">
      <c r="A208" s="1"/>
    </row>
    <row r="209" ht="14.25" customHeight="1">
      <c r="A209" s="1"/>
    </row>
    <row r="210" ht="14.25" customHeight="1">
      <c r="A210" s="1"/>
    </row>
    <row r="211" ht="14.25" customHeight="1">
      <c r="A211" s="1"/>
    </row>
    <row r="212" ht="14.25" customHeight="1">
      <c r="A212" s="1"/>
    </row>
    <row r="213" ht="14.25" customHeight="1">
      <c r="A213" s="1"/>
    </row>
    <row r="214" ht="14.25" customHeight="1">
      <c r="A214" s="1"/>
    </row>
    <row r="215" ht="14.25" customHeight="1">
      <c r="A215" s="1"/>
    </row>
    <row r="216" ht="14.25" customHeight="1">
      <c r="A216" s="1"/>
    </row>
    <row r="217" ht="14.25" customHeight="1">
      <c r="A217" s="1"/>
    </row>
    <row r="218" ht="14.25" customHeight="1">
      <c r="A218" s="1"/>
    </row>
    <row r="219" ht="14.25" customHeight="1">
      <c r="A219" s="1"/>
    </row>
    <row r="220" ht="14.25" customHeight="1">
      <c r="A220" s="1"/>
    </row>
    <row r="221" ht="14.25" customHeight="1">
      <c r="A221" s="1"/>
    </row>
    <row r="222" ht="14.25" customHeight="1">
      <c r="A222" s="1"/>
    </row>
    <row r="223" ht="14.25" customHeight="1">
      <c r="A223" s="1"/>
    </row>
    <row r="224" ht="14.25" customHeight="1">
      <c r="A224" s="1"/>
    </row>
    <row r="225" ht="14.25" customHeight="1">
      <c r="A225" s="1"/>
    </row>
    <row r="226" ht="14.25" customHeight="1">
      <c r="A226" s="1"/>
    </row>
    <row r="227" ht="14.25" customHeight="1">
      <c r="A227" s="1"/>
    </row>
    <row r="228" ht="14.25" customHeight="1">
      <c r="A228" s="1"/>
    </row>
    <row r="229" ht="14.25" customHeight="1">
      <c r="A229" s="1"/>
    </row>
    <row r="230" ht="14.25" customHeight="1">
      <c r="A230" s="1"/>
    </row>
    <row r="231" ht="14.25" customHeight="1">
      <c r="A231" s="1"/>
    </row>
    <row r="232" ht="14.25" customHeight="1">
      <c r="A232" s="1"/>
    </row>
    <row r="233" ht="14.25" customHeight="1">
      <c r="A233" s="1"/>
    </row>
    <row r="234" ht="14.25" customHeight="1">
      <c r="A234" s="1"/>
    </row>
    <row r="235" ht="14.25" customHeight="1">
      <c r="A235" s="1"/>
    </row>
    <row r="236" ht="14.25" customHeight="1">
      <c r="A236" s="1"/>
    </row>
    <row r="237" ht="14.25" customHeight="1">
      <c r="A237" s="1"/>
    </row>
    <row r="238" ht="14.25" customHeight="1">
      <c r="A238" s="1"/>
    </row>
    <row r="239" ht="14.25" customHeight="1">
      <c r="A239" s="1"/>
    </row>
    <row r="240" ht="14.25" customHeight="1">
      <c r="A240" s="1"/>
    </row>
    <row r="241" ht="14.25" customHeight="1">
      <c r="A241" s="1"/>
    </row>
    <row r="242" ht="14.25" customHeight="1">
      <c r="A242" s="1"/>
    </row>
    <row r="243" ht="14.25" customHeight="1">
      <c r="A243" s="1"/>
    </row>
    <row r="244" ht="14.25" customHeight="1">
      <c r="A244" s="1"/>
    </row>
    <row r="245" ht="14.25" customHeight="1">
      <c r="A245" s="1"/>
    </row>
    <row r="246" ht="14.25" customHeight="1">
      <c r="A246" s="1"/>
    </row>
    <row r="247" ht="14.25" customHeight="1">
      <c r="A247" s="1"/>
    </row>
    <row r="248" ht="14.25" customHeight="1">
      <c r="A248" s="1"/>
    </row>
    <row r="249" ht="14.25" customHeight="1">
      <c r="A249" s="1"/>
    </row>
    <row r="250" ht="14.25" customHeight="1">
      <c r="A250" s="1"/>
    </row>
    <row r="251" ht="14.25" customHeight="1">
      <c r="A251" s="1"/>
    </row>
    <row r="252" ht="14.25" customHeight="1">
      <c r="A252" s="1"/>
    </row>
    <row r="253" ht="14.25" customHeight="1">
      <c r="A253" s="1"/>
    </row>
    <row r="254" ht="14.25" customHeight="1">
      <c r="A254" s="1"/>
    </row>
    <row r="255" ht="14.25" customHeight="1">
      <c r="A255" s="1"/>
    </row>
    <row r="256" ht="14.25" customHeight="1">
      <c r="A256" s="1"/>
    </row>
    <row r="257" ht="14.25" customHeight="1">
      <c r="A257" s="1"/>
    </row>
    <row r="258" ht="14.25" customHeight="1">
      <c r="A258" s="1"/>
    </row>
    <row r="259" ht="14.25" customHeight="1">
      <c r="A259" s="1"/>
    </row>
    <row r="260" ht="14.25" customHeight="1">
      <c r="A260" s="1"/>
    </row>
    <row r="261" ht="14.25" customHeight="1">
      <c r="A261" s="1"/>
    </row>
    <row r="262" ht="14.25" customHeight="1">
      <c r="A262" s="1"/>
    </row>
    <row r="263" ht="14.25" customHeight="1">
      <c r="A263" s="1"/>
    </row>
    <row r="264" ht="14.25" customHeight="1">
      <c r="A264" s="1"/>
    </row>
    <row r="265" ht="14.25" customHeight="1">
      <c r="A265" s="1"/>
    </row>
    <row r="266" ht="14.25" customHeight="1">
      <c r="A266" s="1"/>
    </row>
    <row r="267" ht="14.25" customHeight="1">
      <c r="A267" s="1"/>
    </row>
    <row r="268" ht="14.25" customHeight="1">
      <c r="A268" s="1"/>
    </row>
    <row r="269" ht="14.25" customHeight="1">
      <c r="A269" s="1"/>
    </row>
    <row r="270" ht="14.25" customHeight="1">
      <c r="A270" s="1"/>
    </row>
    <row r="271" ht="14.25" customHeight="1">
      <c r="A271" s="1"/>
    </row>
    <row r="272" ht="14.25" customHeight="1">
      <c r="A272" s="1"/>
    </row>
    <row r="273" ht="14.25" customHeight="1">
      <c r="A273" s="1"/>
    </row>
    <row r="274" ht="14.25" customHeight="1">
      <c r="A274" s="1"/>
    </row>
    <row r="275" ht="14.25" customHeight="1">
      <c r="A275" s="1"/>
    </row>
    <row r="276" ht="14.25" customHeight="1">
      <c r="A276" s="1"/>
    </row>
    <row r="277" ht="14.25" customHeight="1">
      <c r="A277" s="1"/>
    </row>
    <row r="278" ht="14.25" customHeight="1">
      <c r="A278" s="1"/>
    </row>
    <row r="279" ht="14.25" customHeight="1">
      <c r="A279" s="1"/>
    </row>
    <row r="280" ht="14.25" customHeight="1">
      <c r="A280" s="1"/>
    </row>
    <row r="281" ht="14.25" customHeight="1">
      <c r="A281" s="1"/>
    </row>
    <row r="282" ht="14.25" customHeight="1">
      <c r="A282" s="1"/>
    </row>
    <row r="283" ht="14.25" customHeight="1">
      <c r="A283" s="1"/>
    </row>
    <row r="284" ht="14.25" customHeight="1">
      <c r="A284" s="1"/>
    </row>
    <row r="285" ht="14.25" customHeight="1">
      <c r="A285" s="1"/>
    </row>
    <row r="286" ht="14.25" customHeight="1">
      <c r="A286" s="1"/>
    </row>
    <row r="287" ht="14.25" customHeight="1">
      <c r="A287" s="1"/>
    </row>
    <row r="288" ht="14.25" customHeight="1">
      <c r="A288" s="1"/>
    </row>
    <row r="289" ht="14.25" customHeight="1">
      <c r="A289" s="1"/>
    </row>
    <row r="290" ht="14.25" customHeight="1">
      <c r="A290" s="1"/>
    </row>
    <row r="291" ht="14.25" customHeight="1">
      <c r="A291" s="1"/>
    </row>
    <row r="292" ht="14.25" customHeight="1">
      <c r="A292" s="1"/>
    </row>
    <row r="293" ht="14.25" customHeight="1">
      <c r="A293" s="1"/>
    </row>
    <row r="294" ht="14.25" customHeight="1">
      <c r="A294" s="1"/>
    </row>
    <row r="295" ht="14.25" customHeight="1">
      <c r="A295" s="1"/>
    </row>
    <row r="296" ht="14.25" customHeight="1">
      <c r="A296" s="1"/>
    </row>
    <row r="297" ht="14.25" customHeight="1">
      <c r="A297" s="1"/>
    </row>
    <row r="298" ht="14.25" customHeight="1">
      <c r="A298" s="1"/>
    </row>
    <row r="299" ht="14.25" customHeight="1">
      <c r="A299" s="1"/>
    </row>
    <row r="300" ht="14.25" customHeight="1">
      <c r="A300" s="1"/>
    </row>
    <row r="301" ht="14.25" customHeight="1">
      <c r="A301" s="1"/>
    </row>
    <row r="302" ht="14.25" customHeight="1">
      <c r="A302" s="1"/>
    </row>
    <row r="303" ht="14.25" customHeight="1">
      <c r="A303" s="1"/>
    </row>
    <row r="304" ht="14.25" customHeight="1">
      <c r="A304" s="1"/>
    </row>
    <row r="305" ht="14.25" customHeight="1">
      <c r="A305" s="1"/>
    </row>
    <row r="306" ht="14.25" customHeight="1">
      <c r="A306" s="1"/>
    </row>
    <row r="307" ht="14.25" customHeight="1">
      <c r="A307" s="1"/>
    </row>
    <row r="308" ht="14.25" customHeight="1">
      <c r="A308" s="1"/>
    </row>
    <row r="309" ht="14.25" customHeight="1">
      <c r="A309" s="1"/>
    </row>
    <row r="310" ht="14.25" customHeight="1">
      <c r="A310" s="1"/>
    </row>
    <row r="311" ht="14.25" customHeight="1">
      <c r="A311" s="1"/>
    </row>
    <row r="312" ht="14.25" customHeight="1">
      <c r="A312" s="1"/>
    </row>
    <row r="313" ht="14.25" customHeight="1">
      <c r="A313" s="1"/>
    </row>
    <row r="314" ht="14.25" customHeight="1">
      <c r="A314" s="1"/>
    </row>
    <row r="315" ht="14.25" customHeight="1">
      <c r="A315" s="1"/>
    </row>
    <row r="316" ht="14.25" customHeight="1">
      <c r="A316" s="1"/>
    </row>
    <row r="317" ht="14.25" customHeight="1">
      <c r="A317" s="1"/>
    </row>
    <row r="318" ht="14.25" customHeight="1">
      <c r="A318" s="1"/>
    </row>
    <row r="319" ht="14.25" customHeight="1">
      <c r="A319" s="1"/>
    </row>
    <row r="320" ht="14.25" customHeight="1">
      <c r="A320" s="1"/>
    </row>
    <row r="321" ht="14.25" customHeight="1">
      <c r="A321" s="1"/>
    </row>
    <row r="322" ht="14.25" customHeight="1">
      <c r="A322" s="1"/>
    </row>
    <row r="323" ht="14.25" customHeight="1">
      <c r="A323" s="1"/>
    </row>
    <row r="324" ht="14.25" customHeight="1">
      <c r="A324" s="1"/>
    </row>
    <row r="325" ht="14.25" customHeight="1">
      <c r="A325" s="1"/>
    </row>
    <row r="326" ht="14.25" customHeight="1">
      <c r="A326" s="1"/>
    </row>
    <row r="327" ht="14.25" customHeight="1">
      <c r="A327" s="1"/>
    </row>
    <row r="328" ht="14.25" customHeight="1">
      <c r="A328" s="1"/>
    </row>
    <row r="329" ht="14.25" customHeight="1">
      <c r="A329" s="1"/>
    </row>
    <row r="330" ht="14.25" customHeight="1">
      <c r="A330" s="1"/>
    </row>
    <row r="331" ht="14.25" customHeight="1">
      <c r="A331" s="1"/>
    </row>
    <row r="332" ht="14.25" customHeight="1">
      <c r="A332" s="1"/>
    </row>
    <row r="333" ht="14.25" customHeight="1">
      <c r="A333" s="1"/>
    </row>
    <row r="334" ht="14.25" customHeight="1">
      <c r="A334" s="1"/>
    </row>
    <row r="335" ht="14.25" customHeight="1">
      <c r="A335" s="1"/>
    </row>
    <row r="336" ht="14.25" customHeight="1">
      <c r="A336" s="1"/>
    </row>
    <row r="337" ht="14.25" customHeight="1">
      <c r="A337" s="1"/>
    </row>
    <row r="338" ht="14.25" customHeight="1">
      <c r="A338" s="1"/>
    </row>
    <row r="339" ht="14.25" customHeight="1">
      <c r="A339" s="1"/>
    </row>
    <row r="340" ht="14.25" customHeight="1">
      <c r="A340" s="1"/>
    </row>
    <row r="341" ht="14.25" customHeight="1">
      <c r="A341" s="1"/>
    </row>
    <row r="342" ht="14.25" customHeight="1">
      <c r="A342" s="1"/>
    </row>
    <row r="343" ht="14.25" customHeight="1">
      <c r="A343" s="1"/>
    </row>
    <row r="344" ht="14.25" customHeight="1">
      <c r="A344" s="1"/>
    </row>
    <row r="345" ht="14.25" customHeight="1">
      <c r="A345" s="1"/>
    </row>
    <row r="346" ht="14.25" customHeight="1">
      <c r="A346" s="1"/>
    </row>
    <row r="347" ht="14.25" customHeight="1">
      <c r="A347" s="1"/>
    </row>
    <row r="348" ht="14.25" customHeight="1">
      <c r="A348" s="1"/>
    </row>
    <row r="349" ht="14.25" customHeight="1">
      <c r="A349" s="1"/>
    </row>
    <row r="350" ht="14.25" customHeight="1">
      <c r="A350" s="1"/>
    </row>
    <row r="351" ht="14.25" customHeight="1">
      <c r="A351" s="1"/>
    </row>
    <row r="352" ht="14.25" customHeight="1">
      <c r="A352" s="1"/>
    </row>
    <row r="353" ht="14.25" customHeight="1">
      <c r="A353" s="1"/>
    </row>
    <row r="354" ht="14.25" customHeight="1">
      <c r="A354" s="1"/>
    </row>
    <row r="355" ht="14.25" customHeight="1">
      <c r="A355" s="1"/>
    </row>
    <row r="356" ht="14.25" customHeight="1">
      <c r="A356" s="1"/>
    </row>
    <row r="357" ht="14.25" customHeight="1">
      <c r="A357" s="1"/>
    </row>
    <row r="358" ht="14.25" customHeight="1">
      <c r="A358" s="1"/>
    </row>
    <row r="359" ht="14.25" customHeight="1">
      <c r="A359" s="1"/>
    </row>
    <row r="360" ht="14.25" customHeight="1">
      <c r="A360" s="1"/>
    </row>
    <row r="361" ht="14.25" customHeight="1">
      <c r="A361" s="1"/>
    </row>
    <row r="362" ht="14.25" customHeight="1">
      <c r="A362" s="1"/>
    </row>
    <row r="363" ht="14.25" customHeight="1">
      <c r="A363" s="1"/>
    </row>
    <row r="364" ht="14.25" customHeight="1">
      <c r="A364" s="1"/>
    </row>
    <row r="365" ht="14.25" customHeight="1">
      <c r="A365" s="1"/>
    </row>
    <row r="366" ht="14.25" customHeight="1">
      <c r="A366" s="1"/>
    </row>
    <row r="367" ht="14.25" customHeight="1">
      <c r="A367" s="1"/>
    </row>
    <row r="368" ht="14.25" customHeight="1">
      <c r="A368" s="1"/>
    </row>
    <row r="369" ht="14.25" customHeight="1">
      <c r="A369" s="1"/>
    </row>
    <row r="370" ht="14.25" customHeight="1">
      <c r="A370" s="1"/>
    </row>
    <row r="371" ht="14.25" customHeight="1">
      <c r="A371" s="1"/>
    </row>
    <row r="372" ht="14.25" customHeight="1">
      <c r="A372" s="1"/>
    </row>
    <row r="373" ht="14.25" customHeight="1">
      <c r="A373" s="1"/>
    </row>
    <row r="374" ht="14.25" customHeight="1">
      <c r="A374" s="1"/>
    </row>
    <row r="375" ht="14.25" customHeight="1">
      <c r="A375" s="1"/>
    </row>
    <row r="376" ht="14.25" customHeight="1">
      <c r="A376" s="1"/>
    </row>
    <row r="377" ht="14.25" customHeight="1">
      <c r="A377" s="1"/>
    </row>
    <row r="378" ht="14.25" customHeight="1">
      <c r="A378" s="1"/>
    </row>
    <row r="379" ht="14.25" customHeight="1">
      <c r="A379" s="1"/>
    </row>
    <row r="380" ht="14.25" customHeight="1">
      <c r="A380" s="1"/>
    </row>
    <row r="381" ht="14.25" customHeight="1">
      <c r="A381" s="1"/>
    </row>
    <row r="382" ht="14.25" customHeight="1">
      <c r="A382" s="1"/>
    </row>
    <row r="383" ht="14.25" customHeight="1">
      <c r="A383" s="1"/>
    </row>
    <row r="384" ht="14.25" customHeight="1">
      <c r="A384" s="1"/>
    </row>
    <row r="385" ht="14.25" customHeight="1">
      <c r="A385" s="1"/>
    </row>
    <row r="386" ht="14.25" customHeight="1">
      <c r="A386" s="1"/>
    </row>
    <row r="387" ht="14.25" customHeight="1">
      <c r="A387" s="1"/>
    </row>
    <row r="388" ht="14.25" customHeight="1">
      <c r="A388" s="1"/>
    </row>
    <row r="389" ht="14.25" customHeight="1">
      <c r="A389" s="1"/>
    </row>
    <row r="390" ht="14.25" customHeight="1">
      <c r="A390" s="1"/>
    </row>
    <row r="391" ht="14.25" customHeight="1">
      <c r="A391" s="1"/>
    </row>
    <row r="392" ht="14.25" customHeight="1">
      <c r="A392" s="1"/>
    </row>
    <row r="393" ht="14.25" customHeight="1">
      <c r="A393" s="1"/>
    </row>
    <row r="394" ht="14.25" customHeight="1">
      <c r="A394" s="1"/>
    </row>
    <row r="395" ht="14.25" customHeight="1">
      <c r="A395" s="1"/>
    </row>
    <row r="396" ht="14.25" customHeight="1">
      <c r="A396" s="1"/>
    </row>
    <row r="397" ht="14.25" customHeight="1">
      <c r="A397" s="1"/>
    </row>
    <row r="398" ht="14.25" customHeight="1">
      <c r="A398" s="1"/>
    </row>
    <row r="399" ht="14.25" customHeight="1">
      <c r="A399" s="1"/>
    </row>
    <row r="400" ht="14.25" customHeight="1">
      <c r="A400" s="1"/>
    </row>
    <row r="401" ht="14.25" customHeight="1">
      <c r="A401" s="1"/>
    </row>
    <row r="402" ht="14.25" customHeight="1">
      <c r="A402" s="1"/>
    </row>
    <row r="403" ht="14.25" customHeight="1">
      <c r="A403" s="1"/>
    </row>
    <row r="404" ht="14.25" customHeight="1">
      <c r="A404" s="1"/>
    </row>
    <row r="405" ht="14.25" customHeight="1">
      <c r="A405" s="1"/>
    </row>
    <row r="406" ht="14.25" customHeight="1">
      <c r="A406" s="1"/>
    </row>
    <row r="407" ht="14.25" customHeight="1">
      <c r="A407" s="1"/>
    </row>
    <row r="408" ht="14.25" customHeight="1">
      <c r="A408" s="1"/>
    </row>
    <row r="409" ht="14.25" customHeight="1">
      <c r="A409" s="1"/>
    </row>
    <row r="410" ht="14.25" customHeight="1">
      <c r="A410" s="1"/>
    </row>
    <row r="411" ht="14.25" customHeight="1">
      <c r="A411" s="1"/>
    </row>
    <row r="412" ht="14.25" customHeight="1">
      <c r="A412" s="1"/>
    </row>
    <row r="413" ht="14.25" customHeight="1">
      <c r="A413" s="1"/>
    </row>
    <row r="414" ht="14.25" customHeight="1">
      <c r="A414" s="1"/>
    </row>
    <row r="415" ht="14.25" customHeight="1">
      <c r="A415" s="1"/>
    </row>
    <row r="416" ht="14.25" customHeight="1">
      <c r="A416" s="1"/>
    </row>
    <row r="417" ht="14.25" customHeight="1">
      <c r="A417" s="1"/>
    </row>
    <row r="418" ht="14.25" customHeight="1">
      <c r="A418" s="1"/>
    </row>
    <row r="419" ht="14.25" customHeight="1">
      <c r="A419" s="1"/>
    </row>
    <row r="420" ht="14.25" customHeight="1">
      <c r="A420" s="1"/>
    </row>
    <row r="421" ht="14.25" customHeight="1">
      <c r="A421" s="1"/>
    </row>
    <row r="422" ht="14.25" customHeight="1">
      <c r="A422" s="1"/>
    </row>
    <row r="423" ht="14.25" customHeight="1">
      <c r="A423" s="1"/>
    </row>
    <row r="424" ht="14.25" customHeight="1">
      <c r="A424" s="1"/>
    </row>
    <row r="425" ht="14.25" customHeight="1">
      <c r="A425" s="1"/>
    </row>
    <row r="426" ht="14.25" customHeight="1">
      <c r="A426" s="1"/>
    </row>
    <row r="427" ht="14.25" customHeight="1">
      <c r="A427" s="1"/>
    </row>
    <row r="428" ht="14.25" customHeight="1">
      <c r="A428" s="1"/>
    </row>
    <row r="429" ht="14.25" customHeight="1">
      <c r="A429" s="1"/>
    </row>
    <row r="430" ht="14.25" customHeight="1">
      <c r="A430" s="1"/>
    </row>
    <row r="431" ht="14.25" customHeight="1">
      <c r="A431" s="1"/>
    </row>
    <row r="432" ht="14.25" customHeight="1">
      <c r="A432" s="1"/>
    </row>
    <row r="433" ht="14.25" customHeight="1">
      <c r="A433" s="1"/>
    </row>
    <row r="434" ht="14.25" customHeight="1">
      <c r="A434" s="1"/>
    </row>
    <row r="435" ht="14.25" customHeight="1">
      <c r="A435" s="1"/>
    </row>
    <row r="436" ht="14.25" customHeight="1">
      <c r="A436" s="1"/>
    </row>
    <row r="437" ht="14.25" customHeight="1">
      <c r="A437" s="1"/>
    </row>
    <row r="438" ht="14.25" customHeight="1">
      <c r="A438" s="1"/>
    </row>
    <row r="439" ht="14.25" customHeight="1">
      <c r="A439" s="1"/>
    </row>
    <row r="440" ht="14.25" customHeight="1">
      <c r="A440" s="1"/>
    </row>
    <row r="441" ht="14.25" customHeight="1">
      <c r="A441" s="1"/>
    </row>
    <row r="442" ht="14.25" customHeight="1">
      <c r="A442" s="1"/>
    </row>
    <row r="443" ht="14.25" customHeight="1">
      <c r="A443" s="1"/>
    </row>
    <row r="444" ht="14.25" customHeight="1">
      <c r="A444" s="1"/>
    </row>
    <row r="445" ht="14.25" customHeight="1">
      <c r="A445" s="1"/>
    </row>
    <row r="446" ht="14.25" customHeight="1">
      <c r="A446" s="1"/>
    </row>
    <row r="447" ht="14.25" customHeight="1">
      <c r="A447" s="1"/>
    </row>
    <row r="448" ht="14.25" customHeight="1">
      <c r="A448" s="1"/>
    </row>
    <row r="449" ht="14.25" customHeight="1">
      <c r="A449" s="1"/>
    </row>
    <row r="450" ht="14.25" customHeight="1">
      <c r="A450" s="1"/>
    </row>
    <row r="451" ht="14.25" customHeight="1">
      <c r="A451" s="1"/>
    </row>
    <row r="452" ht="14.25" customHeight="1">
      <c r="A452" s="1"/>
    </row>
    <row r="453" ht="14.25" customHeight="1">
      <c r="A453" s="1"/>
    </row>
    <row r="454" ht="14.25" customHeight="1">
      <c r="A454" s="1"/>
    </row>
    <row r="455" ht="14.25" customHeight="1">
      <c r="A455" s="1"/>
    </row>
    <row r="456" ht="14.25" customHeight="1">
      <c r="A456" s="1"/>
    </row>
    <row r="457" ht="14.25" customHeight="1">
      <c r="A457" s="1"/>
    </row>
    <row r="458" ht="14.25" customHeight="1">
      <c r="A458" s="1"/>
    </row>
    <row r="459" ht="14.25" customHeight="1">
      <c r="A459" s="1"/>
    </row>
    <row r="460" ht="14.25" customHeight="1">
      <c r="A460" s="1"/>
    </row>
    <row r="461" ht="14.25" customHeight="1">
      <c r="A461" s="1"/>
    </row>
    <row r="462" ht="14.25" customHeight="1">
      <c r="A462" s="1"/>
    </row>
    <row r="463" ht="14.25" customHeight="1">
      <c r="A463" s="1"/>
    </row>
    <row r="464" ht="14.25" customHeight="1">
      <c r="A464" s="1"/>
    </row>
    <row r="465" ht="14.25" customHeight="1">
      <c r="A465" s="1"/>
    </row>
    <row r="466" ht="14.25" customHeight="1">
      <c r="A466" s="1"/>
    </row>
    <row r="467" ht="14.25" customHeight="1">
      <c r="A467" s="1"/>
    </row>
    <row r="468" ht="14.25" customHeight="1">
      <c r="A468" s="1"/>
    </row>
    <row r="469" ht="14.25" customHeight="1">
      <c r="A469" s="1"/>
    </row>
    <row r="470" ht="14.25" customHeight="1">
      <c r="A470" s="1"/>
    </row>
    <row r="471" ht="14.25" customHeight="1">
      <c r="A471" s="1"/>
    </row>
    <row r="472" ht="14.25" customHeight="1">
      <c r="A472" s="1"/>
    </row>
    <row r="473" ht="14.25" customHeight="1">
      <c r="A473" s="1"/>
    </row>
    <row r="474" ht="14.25" customHeight="1">
      <c r="A474" s="1"/>
    </row>
    <row r="475" ht="14.25" customHeight="1">
      <c r="A475" s="1"/>
    </row>
    <row r="476" ht="14.25" customHeight="1">
      <c r="A476" s="1"/>
    </row>
    <row r="477" ht="14.25" customHeight="1">
      <c r="A477" s="1"/>
    </row>
    <row r="478" ht="14.25" customHeight="1">
      <c r="A478" s="1"/>
    </row>
    <row r="479" ht="14.25" customHeight="1">
      <c r="A479" s="1"/>
    </row>
    <row r="480" ht="14.25" customHeight="1">
      <c r="A480" s="1"/>
    </row>
    <row r="481" ht="14.25" customHeight="1">
      <c r="A481" s="1"/>
    </row>
    <row r="482" ht="14.25" customHeight="1">
      <c r="A482" s="1"/>
    </row>
    <row r="483" ht="14.25" customHeight="1">
      <c r="A483" s="1"/>
    </row>
    <row r="484" ht="14.25" customHeight="1">
      <c r="A484" s="1"/>
    </row>
    <row r="485" ht="14.25" customHeight="1">
      <c r="A485" s="1"/>
    </row>
    <row r="486" ht="14.25" customHeight="1">
      <c r="A486" s="1"/>
    </row>
    <row r="487" ht="14.25" customHeight="1">
      <c r="A487" s="1"/>
    </row>
    <row r="488" ht="14.25" customHeight="1">
      <c r="A488" s="1"/>
    </row>
    <row r="489" ht="14.25" customHeight="1">
      <c r="A489" s="1"/>
    </row>
    <row r="490" ht="14.25" customHeight="1">
      <c r="A490" s="1"/>
    </row>
    <row r="491" ht="14.25" customHeight="1">
      <c r="A491" s="1"/>
    </row>
    <row r="492" ht="14.25" customHeight="1">
      <c r="A492" s="1"/>
    </row>
    <row r="493" ht="14.25" customHeight="1">
      <c r="A493" s="1"/>
    </row>
    <row r="494" ht="14.25" customHeight="1">
      <c r="A494" s="1"/>
    </row>
    <row r="495" ht="14.25" customHeight="1">
      <c r="A495" s="1"/>
    </row>
    <row r="496" ht="14.25" customHeight="1">
      <c r="A496" s="1"/>
    </row>
    <row r="497" ht="14.25" customHeight="1">
      <c r="A497" s="1"/>
    </row>
    <row r="498" ht="14.25" customHeight="1">
      <c r="A498" s="1"/>
    </row>
    <row r="499" ht="14.25" customHeight="1">
      <c r="A499" s="1"/>
    </row>
    <row r="500" ht="14.25" customHeight="1">
      <c r="A500" s="1"/>
    </row>
    <row r="501" ht="14.25" customHeight="1">
      <c r="A501" s="1"/>
    </row>
    <row r="502" ht="14.25" customHeight="1">
      <c r="A502" s="1"/>
    </row>
    <row r="503" ht="14.25" customHeight="1">
      <c r="A503" s="1"/>
    </row>
    <row r="504" ht="14.25" customHeight="1">
      <c r="A504" s="1"/>
    </row>
    <row r="505" ht="14.25" customHeight="1">
      <c r="A505" s="1"/>
    </row>
    <row r="506" ht="14.25" customHeight="1">
      <c r="A506" s="1"/>
    </row>
    <row r="507" ht="14.25" customHeight="1">
      <c r="A507" s="1"/>
    </row>
    <row r="508" ht="14.25" customHeight="1">
      <c r="A508" s="1"/>
    </row>
    <row r="509" ht="14.25" customHeight="1">
      <c r="A509" s="1"/>
    </row>
    <row r="510" ht="14.25" customHeight="1">
      <c r="A510" s="1"/>
    </row>
    <row r="511" ht="14.25" customHeight="1">
      <c r="A511" s="1"/>
    </row>
    <row r="512" ht="14.25" customHeight="1">
      <c r="A512" s="1"/>
    </row>
    <row r="513" ht="14.25" customHeight="1">
      <c r="A513" s="1"/>
    </row>
    <row r="514" ht="14.25" customHeight="1">
      <c r="A514" s="1"/>
    </row>
    <row r="515" ht="14.25" customHeight="1">
      <c r="A515" s="1"/>
    </row>
    <row r="516" ht="14.25" customHeight="1">
      <c r="A516" s="1"/>
    </row>
    <row r="517" ht="14.25" customHeight="1">
      <c r="A517" s="1"/>
    </row>
    <row r="518" ht="14.25" customHeight="1">
      <c r="A518" s="1"/>
    </row>
    <row r="519" ht="14.25" customHeight="1">
      <c r="A519" s="1"/>
    </row>
    <row r="520" ht="14.25" customHeight="1">
      <c r="A520" s="1"/>
    </row>
    <row r="521" ht="14.25" customHeight="1">
      <c r="A521" s="1"/>
    </row>
    <row r="522" ht="14.25" customHeight="1">
      <c r="A522" s="1"/>
    </row>
    <row r="523" ht="14.25" customHeight="1">
      <c r="A523" s="1"/>
    </row>
    <row r="524" ht="14.25" customHeight="1">
      <c r="A524" s="1"/>
    </row>
    <row r="525" ht="14.25" customHeight="1">
      <c r="A525" s="1"/>
    </row>
    <row r="526" ht="14.25" customHeight="1">
      <c r="A526" s="1"/>
    </row>
    <row r="527" ht="14.25" customHeight="1">
      <c r="A527" s="1"/>
    </row>
    <row r="528" ht="14.25" customHeight="1">
      <c r="A528" s="1"/>
    </row>
    <row r="529" ht="14.25" customHeight="1">
      <c r="A529" s="1"/>
    </row>
    <row r="530" ht="14.25" customHeight="1">
      <c r="A530" s="1"/>
    </row>
    <row r="531" ht="14.25" customHeight="1">
      <c r="A531" s="1"/>
    </row>
    <row r="532" ht="14.25" customHeight="1">
      <c r="A532" s="1"/>
    </row>
    <row r="533" ht="14.25" customHeight="1">
      <c r="A533" s="1"/>
    </row>
    <row r="534" ht="14.25" customHeight="1">
      <c r="A534" s="1"/>
    </row>
    <row r="535" ht="14.25" customHeight="1">
      <c r="A535" s="1"/>
    </row>
    <row r="536" ht="14.25" customHeight="1">
      <c r="A536" s="1"/>
    </row>
    <row r="537" ht="14.25" customHeight="1">
      <c r="A537" s="1"/>
    </row>
    <row r="538" ht="14.25" customHeight="1">
      <c r="A538" s="1"/>
    </row>
    <row r="539" ht="14.25" customHeight="1">
      <c r="A539" s="1"/>
    </row>
    <row r="540" ht="14.25" customHeight="1">
      <c r="A540" s="1"/>
    </row>
    <row r="541" ht="14.25" customHeight="1">
      <c r="A541" s="1"/>
    </row>
    <row r="542" ht="14.25" customHeight="1">
      <c r="A542" s="1"/>
    </row>
    <row r="543" ht="14.25" customHeight="1">
      <c r="A543" s="1"/>
    </row>
    <row r="544" ht="14.25" customHeight="1">
      <c r="A544" s="1"/>
    </row>
    <row r="545" ht="14.25" customHeight="1">
      <c r="A545" s="1"/>
    </row>
    <row r="546" ht="14.25" customHeight="1">
      <c r="A546" s="1"/>
    </row>
    <row r="547" ht="14.25" customHeight="1">
      <c r="A547" s="1"/>
    </row>
    <row r="548" ht="14.25" customHeight="1">
      <c r="A548" s="1"/>
    </row>
    <row r="549" ht="14.25" customHeight="1">
      <c r="A549" s="1"/>
    </row>
    <row r="550" ht="14.25" customHeight="1">
      <c r="A550" s="1"/>
    </row>
    <row r="551" ht="14.25" customHeight="1">
      <c r="A551" s="1"/>
    </row>
    <row r="552" ht="14.25" customHeight="1">
      <c r="A552" s="1"/>
    </row>
    <row r="553" ht="14.25" customHeight="1">
      <c r="A553" s="1"/>
    </row>
    <row r="554" ht="14.25" customHeight="1">
      <c r="A554" s="1"/>
    </row>
    <row r="555" ht="14.25" customHeight="1">
      <c r="A555" s="1"/>
    </row>
    <row r="556" ht="14.25" customHeight="1">
      <c r="A556" s="1"/>
    </row>
    <row r="557" ht="14.25" customHeight="1">
      <c r="A557" s="1"/>
    </row>
    <row r="558" ht="14.25" customHeight="1">
      <c r="A558" s="1"/>
    </row>
    <row r="559" ht="14.25" customHeight="1">
      <c r="A559" s="1"/>
    </row>
    <row r="560" ht="14.25" customHeight="1">
      <c r="A560" s="1"/>
    </row>
    <row r="561" ht="14.25" customHeight="1">
      <c r="A561" s="1"/>
    </row>
    <row r="562" ht="14.25" customHeight="1">
      <c r="A562" s="1"/>
    </row>
    <row r="563" ht="14.25" customHeight="1">
      <c r="A563" s="1"/>
    </row>
    <row r="564" ht="14.25" customHeight="1">
      <c r="A564" s="1"/>
    </row>
    <row r="565" ht="14.25" customHeight="1">
      <c r="A565" s="1"/>
    </row>
    <row r="566" ht="14.25" customHeight="1">
      <c r="A566" s="1"/>
    </row>
    <row r="567" ht="14.25" customHeight="1">
      <c r="A567" s="1"/>
    </row>
    <row r="568" ht="14.25" customHeight="1">
      <c r="A568" s="1"/>
    </row>
    <row r="569" ht="14.25" customHeight="1">
      <c r="A569" s="1"/>
    </row>
    <row r="570" ht="14.25" customHeight="1">
      <c r="A570" s="1"/>
    </row>
    <row r="571" ht="14.25" customHeight="1">
      <c r="A571" s="1"/>
    </row>
    <row r="572" ht="14.25" customHeight="1">
      <c r="A572" s="1"/>
    </row>
    <row r="573" ht="14.25" customHeight="1">
      <c r="A573" s="1"/>
    </row>
    <row r="574" ht="14.25" customHeight="1">
      <c r="A574" s="1"/>
    </row>
    <row r="575" ht="14.25" customHeight="1">
      <c r="A575" s="1"/>
    </row>
    <row r="576" ht="14.25" customHeight="1">
      <c r="A576" s="1"/>
    </row>
    <row r="577" ht="14.25" customHeight="1">
      <c r="A577" s="1"/>
    </row>
    <row r="578" ht="14.25" customHeight="1">
      <c r="A578" s="1"/>
    </row>
    <row r="579" ht="14.25" customHeight="1">
      <c r="A579" s="1"/>
    </row>
    <row r="580" ht="14.25" customHeight="1">
      <c r="A580" s="1"/>
    </row>
    <row r="581" ht="14.25" customHeight="1">
      <c r="A581" s="1"/>
    </row>
    <row r="582" ht="14.25" customHeight="1">
      <c r="A582" s="1"/>
    </row>
    <row r="583" ht="14.25" customHeight="1">
      <c r="A583" s="1"/>
    </row>
    <row r="584" ht="14.25" customHeight="1">
      <c r="A584" s="1"/>
    </row>
    <row r="585" ht="14.25" customHeight="1">
      <c r="A585" s="1"/>
    </row>
    <row r="586" ht="14.25" customHeight="1">
      <c r="A586" s="1"/>
    </row>
    <row r="587" ht="14.25" customHeight="1">
      <c r="A587" s="1"/>
    </row>
    <row r="588" ht="14.25" customHeight="1">
      <c r="A588" s="1"/>
    </row>
    <row r="589" ht="14.25" customHeight="1">
      <c r="A589" s="1"/>
    </row>
    <row r="590" ht="14.25" customHeight="1">
      <c r="A590" s="1"/>
    </row>
    <row r="591" ht="14.25" customHeight="1">
      <c r="A591" s="1"/>
    </row>
    <row r="592" ht="14.25" customHeight="1">
      <c r="A592" s="1"/>
    </row>
    <row r="593" ht="14.25" customHeight="1">
      <c r="A593" s="1"/>
    </row>
    <row r="594" ht="14.25" customHeight="1">
      <c r="A594" s="1"/>
    </row>
    <row r="595" ht="14.25" customHeight="1">
      <c r="A595" s="1"/>
    </row>
    <row r="596" ht="14.25" customHeight="1">
      <c r="A596" s="1"/>
    </row>
    <row r="597" ht="14.25" customHeight="1">
      <c r="A597" s="1"/>
    </row>
    <row r="598" ht="14.25" customHeight="1">
      <c r="A598" s="1"/>
    </row>
    <row r="599" ht="14.25" customHeight="1">
      <c r="A599" s="1"/>
    </row>
    <row r="600" ht="14.25" customHeight="1">
      <c r="A600" s="1"/>
    </row>
    <row r="601" ht="14.25" customHeight="1">
      <c r="A601" s="1"/>
    </row>
    <row r="602" ht="14.25" customHeight="1">
      <c r="A602" s="1"/>
    </row>
    <row r="603" ht="14.25" customHeight="1">
      <c r="A603" s="1"/>
    </row>
    <row r="604" ht="14.25" customHeight="1">
      <c r="A604" s="1"/>
    </row>
    <row r="605" ht="14.25" customHeight="1">
      <c r="A605" s="1"/>
    </row>
    <row r="606" ht="14.25" customHeight="1">
      <c r="A606" s="1"/>
    </row>
    <row r="607" ht="14.25" customHeight="1">
      <c r="A607" s="1"/>
    </row>
    <row r="608" ht="14.25" customHeight="1">
      <c r="A608" s="1"/>
    </row>
    <row r="609" ht="14.25" customHeight="1">
      <c r="A609" s="1"/>
    </row>
    <row r="610" ht="14.25" customHeight="1">
      <c r="A610" s="1"/>
    </row>
    <row r="611" ht="14.25" customHeight="1">
      <c r="A611" s="1"/>
    </row>
    <row r="612" ht="14.25" customHeight="1">
      <c r="A612" s="1"/>
    </row>
    <row r="613" ht="14.25" customHeight="1">
      <c r="A613" s="1"/>
    </row>
    <row r="614" ht="14.25" customHeight="1">
      <c r="A614" s="1"/>
    </row>
    <row r="615" ht="14.25" customHeight="1">
      <c r="A615" s="1"/>
    </row>
    <row r="616" ht="14.25" customHeight="1">
      <c r="A616" s="1"/>
    </row>
    <row r="617" ht="14.25" customHeight="1">
      <c r="A617" s="1"/>
    </row>
    <row r="618" ht="14.25" customHeight="1">
      <c r="A618" s="1"/>
    </row>
    <row r="619" ht="14.25" customHeight="1">
      <c r="A619" s="1"/>
    </row>
    <row r="620" ht="14.25" customHeight="1">
      <c r="A620" s="1"/>
    </row>
    <row r="621" ht="14.25" customHeight="1">
      <c r="A621" s="1"/>
    </row>
    <row r="622" ht="14.25" customHeight="1">
      <c r="A622" s="1"/>
    </row>
    <row r="623" ht="14.25" customHeight="1">
      <c r="A623" s="1"/>
    </row>
    <row r="624" ht="14.25" customHeight="1">
      <c r="A624" s="1"/>
    </row>
    <row r="625" ht="14.25" customHeight="1">
      <c r="A625" s="1"/>
    </row>
    <row r="626" ht="14.25" customHeight="1">
      <c r="A626" s="1"/>
    </row>
    <row r="627" ht="14.25" customHeight="1">
      <c r="A627" s="1"/>
    </row>
    <row r="628" ht="14.25" customHeight="1">
      <c r="A628" s="1"/>
    </row>
    <row r="629" ht="14.25" customHeight="1">
      <c r="A629" s="1"/>
    </row>
    <row r="630" ht="14.25" customHeight="1">
      <c r="A630" s="1"/>
    </row>
    <row r="631" ht="14.25" customHeight="1">
      <c r="A631" s="1"/>
    </row>
    <row r="632" ht="14.25" customHeight="1">
      <c r="A632" s="1"/>
    </row>
    <row r="633" ht="14.25" customHeight="1">
      <c r="A633" s="1"/>
    </row>
    <row r="634" ht="14.25" customHeight="1">
      <c r="A634" s="1"/>
    </row>
    <row r="635" ht="14.25" customHeight="1">
      <c r="A635" s="1"/>
    </row>
    <row r="636" ht="14.25" customHeight="1">
      <c r="A636" s="1"/>
    </row>
    <row r="637" ht="14.25" customHeight="1">
      <c r="A637" s="1"/>
    </row>
    <row r="638" ht="14.25" customHeight="1">
      <c r="A638" s="1"/>
    </row>
    <row r="639" ht="14.25" customHeight="1">
      <c r="A639" s="1"/>
    </row>
    <row r="640" ht="14.25" customHeight="1">
      <c r="A640" s="1"/>
    </row>
    <row r="641" ht="14.25" customHeight="1">
      <c r="A641" s="1"/>
    </row>
    <row r="642" ht="14.25" customHeight="1">
      <c r="A642" s="1"/>
    </row>
    <row r="643" ht="14.25" customHeight="1">
      <c r="A643" s="1"/>
    </row>
    <row r="644" ht="14.25" customHeight="1">
      <c r="A644" s="1"/>
    </row>
    <row r="645" ht="14.25" customHeight="1">
      <c r="A645" s="1"/>
    </row>
    <row r="646" ht="14.25" customHeight="1">
      <c r="A646" s="1"/>
    </row>
    <row r="647" ht="14.25" customHeight="1">
      <c r="A647" s="1"/>
    </row>
    <row r="648" ht="14.25" customHeight="1">
      <c r="A648" s="1"/>
    </row>
    <row r="649" ht="14.25" customHeight="1">
      <c r="A649" s="1"/>
    </row>
    <row r="650" ht="14.25" customHeight="1">
      <c r="A650" s="1"/>
    </row>
    <row r="651" ht="14.25" customHeight="1">
      <c r="A651" s="1"/>
    </row>
    <row r="652" ht="14.25" customHeight="1">
      <c r="A652" s="1"/>
    </row>
    <row r="653" ht="14.25" customHeight="1">
      <c r="A653" s="1"/>
    </row>
    <row r="654" ht="14.25" customHeight="1">
      <c r="A654" s="1"/>
    </row>
    <row r="655" ht="14.25" customHeight="1">
      <c r="A655" s="1"/>
    </row>
    <row r="656" ht="14.25" customHeight="1">
      <c r="A656" s="1"/>
    </row>
    <row r="657" ht="14.25" customHeight="1">
      <c r="A657" s="1"/>
    </row>
    <row r="658" ht="14.25" customHeight="1">
      <c r="A658" s="1"/>
    </row>
    <row r="659" ht="14.25" customHeight="1">
      <c r="A659" s="1"/>
    </row>
    <row r="660" ht="14.25" customHeight="1">
      <c r="A660" s="1"/>
    </row>
    <row r="661" ht="14.25" customHeight="1">
      <c r="A661" s="1"/>
    </row>
    <row r="662" ht="14.25" customHeight="1">
      <c r="A662" s="1"/>
    </row>
    <row r="663" ht="14.25" customHeight="1">
      <c r="A663" s="1"/>
    </row>
    <row r="664" ht="14.25" customHeight="1">
      <c r="A664" s="1"/>
    </row>
    <row r="665" ht="14.25" customHeight="1">
      <c r="A665" s="1"/>
    </row>
    <row r="666" ht="14.25" customHeight="1">
      <c r="A666" s="1"/>
    </row>
    <row r="667" ht="14.25" customHeight="1">
      <c r="A667" s="1"/>
    </row>
    <row r="668" ht="14.25" customHeight="1">
      <c r="A668" s="1"/>
    </row>
    <row r="669" ht="14.25" customHeight="1">
      <c r="A669" s="1"/>
    </row>
    <row r="670" ht="14.25" customHeight="1">
      <c r="A670" s="1"/>
    </row>
    <row r="671" ht="14.25" customHeight="1">
      <c r="A671" s="1"/>
    </row>
    <row r="672" ht="14.25" customHeight="1">
      <c r="A672" s="1"/>
    </row>
    <row r="673" ht="14.25" customHeight="1">
      <c r="A673" s="1"/>
    </row>
    <row r="674" ht="14.25" customHeight="1">
      <c r="A674" s="1"/>
    </row>
    <row r="675" ht="14.25" customHeight="1">
      <c r="A675" s="1"/>
    </row>
    <row r="676" ht="14.25" customHeight="1">
      <c r="A676" s="1"/>
    </row>
    <row r="677" ht="14.25" customHeight="1">
      <c r="A677" s="1"/>
    </row>
    <row r="678" ht="14.25" customHeight="1">
      <c r="A678" s="1"/>
    </row>
    <row r="679" ht="14.25" customHeight="1">
      <c r="A679" s="1"/>
    </row>
    <row r="680" ht="14.25" customHeight="1">
      <c r="A680" s="1"/>
    </row>
    <row r="681" ht="14.25" customHeight="1">
      <c r="A681" s="1"/>
    </row>
    <row r="682" ht="14.25" customHeight="1">
      <c r="A682" s="1"/>
    </row>
    <row r="683" ht="14.25" customHeight="1">
      <c r="A683" s="1"/>
    </row>
    <row r="684" ht="14.25" customHeight="1">
      <c r="A684" s="1"/>
    </row>
    <row r="685" ht="14.25" customHeight="1">
      <c r="A685" s="1"/>
    </row>
    <row r="686" ht="14.25" customHeight="1">
      <c r="A686" s="1"/>
    </row>
    <row r="687" ht="14.25" customHeight="1">
      <c r="A687" s="1"/>
    </row>
    <row r="688" ht="14.25" customHeight="1">
      <c r="A688" s="1"/>
    </row>
    <row r="689" ht="14.25" customHeight="1">
      <c r="A689" s="1"/>
    </row>
    <row r="690" ht="14.25" customHeight="1">
      <c r="A690" s="1"/>
    </row>
    <row r="691" ht="14.25" customHeight="1">
      <c r="A691" s="1"/>
    </row>
    <row r="692" ht="14.25" customHeight="1">
      <c r="A692" s="1"/>
    </row>
    <row r="693" ht="14.25" customHeight="1">
      <c r="A693" s="1"/>
    </row>
    <row r="694" ht="14.25" customHeight="1">
      <c r="A694" s="1"/>
    </row>
    <row r="695" ht="14.25" customHeight="1">
      <c r="A695" s="1"/>
    </row>
    <row r="696" ht="14.25" customHeight="1">
      <c r="A696" s="1"/>
    </row>
    <row r="697" ht="14.25" customHeight="1">
      <c r="A697" s="1"/>
    </row>
    <row r="698" ht="14.25" customHeight="1">
      <c r="A698" s="1"/>
    </row>
    <row r="699" ht="14.25" customHeight="1">
      <c r="A699" s="1"/>
    </row>
    <row r="700" ht="14.25" customHeight="1">
      <c r="A700" s="1"/>
    </row>
    <row r="701" ht="14.25" customHeight="1">
      <c r="A701" s="1"/>
    </row>
    <row r="702" ht="14.25" customHeight="1">
      <c r="A702" s="1"/>
    </row>
    <row r="703" ht="14.25" customHeight="1">
      <c r="A703" s="1"/>
    </row>
    <row r="704" ht="14.25" customHeight="1">
      <c r="A704" s="1"/>
    </row>
    <row r="705" ht="14.25" customHeight="1">
      <c r="A705" s="1"/>
    </row>
    <row r="706" ht="14.25" customHeight="1">
      <c r="A706" s="1"/>
    </row>
    <row r="707" ht="14.25" customHeight="1">
      <c r="A707" s="1"/>
    </row>
    <row r="708" ht="14.25" customHeight="1">
      <c r="A708" s="1"/>
    </row>
    <row r="709" ht="14.25" customHeight="1">
      <c r="A709" s="1"/>
    </row>
    <row r="710" ht="14.25" customHeight="1">
      <c r="A710" s="1"/>
    </row>
    <row r="711" ht="14.25" customHeight="1">
      <c r="A711" s="1"/>
    </row>
    <row r="712" ht="14.25" customHeight="1">
      <c r="A712" s="1"/>
    </row>
    <row r="713" ht="14.25" customHeight="1">
      <c r="A713" s="1"/>
    </row>
    <row r="714" ht="14.25" customHeight="1">
      <c r="A714" s="1"/>
    </row>
    <row r="715" ht="14.25" customHeight="1">
      <c r="A715" s="1"/>
    </row>
    <row r="716" ht="14.25" customHeight="1">
      <c r="A716" s="1"/>
    </row>
    <row r="717" ht="14.25" customHeight="1">
      <c r="A717" s="1"/>
    </row>
    <row r="718" ht="14.25" customHeight="1">
      <c r="A718" s="1"/>
    </row>
    <row r="719" ht="14.25" customHeight="1">
      <c r="A719" s="1"/>
    </row>
    <row r="720" ht="14.25" customHeight="1">
      <c r="A720" s="1"/>
    </row>
    <row r="721" ht="14.25" customHeight="1">
      <c r="A721" s="1"/>
    </row>
    <row r="722" ht="14.25" customHeight="1">
      <c r="A722" s="1"/>
    </row>
    <row r="723" ht="14.25" customHeight="1">
      <c r="A723" s="1"/>
    </row>
    <row r="724" ht="14.25" customHeight="1">
      <c r="A724" s="1"/>
    </row>
    <row r="725" ht="14.25" customHeight="1">
      <c r="A725" s="1"/>
    </row>
    <row r="726" ht="14.25" customHeight="1">
      <c r="A726" s="1"/>
    </row>
    <row r="727" ht="14.25" customHeight="1">
      <c r="A727" s="1"/>
    </row>
    <row r="728" ht="14.25" customHeight="1">
      <c r="A728" s="1"/>
    </row>
    <row r="729" ht="14.25" customHeight="1">
      <c r="A729" s="1"/>
    </row>
    <row r="730" ht="14.25" customHeight="1">
      <c r="A730" s="1"/>
    </row>
    <row r="731" ht="14.25" customHeight="1">
      <c r="A731" s="1"/>
    </row>
    <row r="732" ht="14.25" customHeight="1">
      <c r="A732" s="1"/>
    </row>
    <row r="733" ht="14.25" customHeight="1">
      <c r="A733" s="1"/>
    </row>
    <row r="734" ht="14.25" customHeight="1">
      <c r="A734" s="1"/>
    </row>
    <row r="735" ht="14.25" customHeight="1">
      <c r="A735" s="1"/>
    </row>
    <row r="736" ht="14.25" customHeight="1">
      <c r="A736" s="1"/>
    </row>
    <row r="737" ht="14.25" customHeight="1">
      <c r="A737" s="1"/>
    </row>
    <row r="738" ht="14.25" customHeight="1">
      <c r="A738" s="1"/>
    </row>
    <row r="739" ht="14.25" customHeight="1">
      <c r="A739" s="1"/>
    </row>
    <row r="740" ht="14.25" customHeight="1">
      <c r="A740" s="1"/>
    </row>
    <row r="741" ht="14.25" customHeight="1">
      <c r="A741" s="1"/>
    </row>
    <row r="742" ht="14.25" customHeight="1">
      <c r="A742" s="1"/>
    </row>
    <row r="743" ht="14.25" customHeight="1">
      <c r="A743" s="1"/>
    </row>
    <row r="744" ht="14.25" customHeight="1">
      <c r="A744" s="1"/>
    </row>
    <row r="745" ht="14.25" customHeight="1">
      <c r="A745" s="1"/>
    </row>
    <row r="746" ht="14.25" customHeight="1">
      <c r="A746" s="1"/>
    </row>
    <row r="747" ht="14.25" customHeight="1">
      <c r="A747" s="1"/>
    </row>
    <row r="748" ht="14.25" customHeight="1">
      <c r="A748" s="1"/>
    </row>
    <row r="749" ht="14.25" customHeight="1">
      <c r="A749" s="1"/>
    </row>
    <row r="750" ht="14.25" customHeight="1">
      <c r="A750" s="1"/>
    </row>
    <row r="751" ht="14.25" customHeight="1">
      <c r="A751" s="1"/>
    </row>
    <row r="752" ht="14.25" customHeight="1">
      <c r="A752" s="1"/>
    </row>
    <row r="753" ht="14.25" customHeight="1">
      <c r="A753" s="1"/>
    </row>
    <row r="754" ht="14.25" customHeight="1">
      <c r="A754" s="1"/>
    </row>
    <row r="755" ht="14.25" customHeight="1">
      <c r="A755" s="1"/>
    </row>
    <row r="756" ht="14.25" customHeight="1">
      <c r="A756" s="1"/>
    </row>
    <row r="757" ht="14.25" customHeight="1">
      <c r="A757" s="1"/>
    </row>
    <row r="758" ht="14.25" customHeight="1">
      <c r="A758" s="1"/>
    </row>
    <row r="759" ht="14.25" customHeight="1">
      <c r="A759" s="1"/>
    </row>
    <row r="760" ht="14.25" customHeight="1">
      <c r="A760" s="1"/>
    </row>
    <row r="761" ht="14.25" customHeight="1">
      <c r="A761" s="1"/>
    </row>
    <row r="762" ht="14.25" customHeight="1">
      <c r="A762" s="1"/>
    </row>
    <row r="763" ht="14.25" customHeight="1">
      <c r="A763" s="1"/>
    </row>
    <row r="764" ht="14.25" customHeight="1">
      <c r="A764" s="1"/>
    </row>
    <row r="765" ht="14.25" customHeight="1">
      <c r="A765" s="1"/>
    </row>
    <row r="766" ht="14.25" customHeight="1">
      <c r="A766" s="1"/>
    </row>
    <row r="767" ht="14.25" customHeight="1">
      <c r="A767" s="1"/>
    </row>
    <row r="768" ht="14.25" customHeight="1">
      <c r="A768" s="1"/>
    </row>
    <row r="769" ht="14.25" customHeight="1">
      <c r="A769" s="1"/>
    </row>
    <row r="770" ht="14.25" customHeight="1">
      <c r="A770" s="1"/>
    </row>
    <row r="771" ht="14.25" customHeight="1">
      <c r="A771" s="1"/>
    </row>
    <row r="772" ht="14.25" customHeight="1">
      <c r="A772" s="1"/>
    </row>
    <row r="773" ht="14.25" customHeight="1">
      <c r="A773" s="1"/>
    </row>
    <row r="774" ht="14.25" customHeight="1">
      <c r="A774" s="1"/>
    </row>
    <row r="775" ht="14.25" customHeight="1">
      <c r="A775" s="1"/>
    </row>
    <row r="776" ht="14.25" customHeight="1">
      <c r="A776" s="1"/>
    </row>
    <row r="777" ht="14.25" customHeight="1">
      <c r="A777" s="1"/>
    </row>
    <row r="778" ht="14.25" customHeight="1">
      <c r="A778" s="1"/>
    </row>
    <row r="779" ht="14.25" customHeight="1">
      <c r="A779" s="1"/>
    </row>
    <row r="780" ht="14.25" customHeight="1">
      <c r="A780" s="1"/>
    </row>
    <row r="781" ht="14.25" customHeight="1">
      <c r="A781" s="1"/>
    </row>
    <row r="782" ht="14.25" customHeight="1">
      <c r="A782" s="1"/>
    </row>
    <row r="783" ht="14.25" customHeight="1">
      <c r="A783" s="1"/>
    </row>
    <row r="784" ht="14.25" customHeight="1">
      <c r="A784" s="1"/>
    </row>
    <row r="785" ht="14.25" customHeight="1">
      <c r="A785" s="1"/>
    </row>
    <row r="786" ht="14.25" customHeight="1">
      <c r="A786" s="1"/>
    </row>
    <row r="787" ht="14.25" customHeight="1">
      <c r="A787" s="1"/>
    </row>
    <row r="788" ht="14.25" customHeight="1">
      <c r="A788" s="1"/>
    </row>
    <row r="789" ht="14.25" customHeight="1">
      <c r="A789" s="1"/>
    </row>
    <row r="790" ht="14.25" customHeight="1">
      <c r="A790" s="1"/>
    </row>
    <row r="791" ht="14.25" customHeight="1">
      <c r="A791" s="1"/>
    </row>
    <row r="792" ht="14.25" customHeight="1">
      <c r="A792" s="1"/>
    </row>
    <row r="793" ht="14.25" customHeight="1">
      <c r="A793" s="1"/>
    </row>
    <row r="794" ht="14.25" customHeight="1">
      <c r="A794" s="1"/>
    </row>
    <row r="795" ht="14.25" customHeight="1">
      <c r="A795" s="1"/>
    </row>
    <row r="796" ht="14.25" customHeight="1">
      <c r="A796" s="1"/>
    </row>
    <row r="797" ht="14.25" customHeight="1">
      <c r="A797" s="1"/>
    </row>
    <row r="798" ht="14.25" customHeight="1">
      <c r="A798" s="1"/>
    </row>
    <row r="799" ht="14.25" customHeight="1">
      <c r="A799" s="1"/>
    </row>
    <row r="800" ht="14.25" customHeight="1">
      <c r="A800" s="1"/>
    </row>
    <row r="801" ht="14.25" customHeight="1">
      <c r="A801" s="1"/>
    </row>
    <row r="802" ht="14.25" customHeight="1">
      <c r="A802" s="1"/>
    </row>
    <row r="803" ht="14.25" customHeight="1">
      <c r="A803" s="1"/>
    </row>
    <row r="804" ht="14.25" customHeight="1">
      <c r="A804" s="1"/>
    </row>
    <row r="805" ht="14.25" customHeight="1">
      <c r="A805" s="1"/>
    </row>
    <row r="806" ht="14.25" customHeight="1">
      <c r="A806" s="1"/>
    </row>
    <row r="807" ht="14.25" customHeight="1">
      <c r="A807" s="1"/>
    </row>
    <row r="808" ht="14.25" customHeight="1">
      <c r="A808" s="1"/>
    </row>
    <row r="809" ht="14.25" customHeight="1">
      <c r="A809" s="1"/>
    </row>
    <row r="810" ht="14.25" customHeight="1">
      <c r="A810" s="1"/>
    </row>
    <row r="811" ht="14.25" customHeight="1">
      <c r="A811" s="1"/>
    </row>
    <row r="812" ht="14.25" customHeight="1">
      <c r="A812" s="1"/>
    </row>
    <row r="813" ht="14.25" customHeight="1">
      <c r="A813" s="1"/>
    </row>
    <row r="814" ht="14.25" customHeight="1">
      <c r="A814" s="1"/>
    </row>
    <row r="815" ht="14.25" customHeight="1">
      <c r="A815" s="1"/>
    </row>
    <row r="816" ht="14.25" customHeight="1">
      <c r="A816" s="1"/>
    </row>
    <row r="817" ht="14.25" customHeight="1">
      <c r="A817" s="1"/>
    </row>
    <row r="818" ht="14.25" customHeight="1">
      <c r="A818" s="1"/>
    </row>
    <row r="819" ht="14.25" customHeight="1">
      <c r="A819" s="1"/>
    </row>
    <row r="820" ht="14.25" customHeight="1">
      <c r="A820" s="1"/>
    </row>
    <row r="821" ht="14.25" customHeight="1">
      <c r="A821" s="1"/>
    </row>
    <row r="822" ht="14.25" customHeight="1">
      <c r="A822" s="1"/>
    </row>
    <row r="823" ht="14.25" customHeight="1">
      <c r="A823" s="1"/>
    </row>
    <row r="824" ht="14.25" customHeight="1">
      <c r="A824" s="1"/>
    </row>
    <row r="825" ht="14.25" customHeight="1">
      <c r="A825" s="1"/>
    </row>
    <row r="826" ht="14.25" customHeight="1">
      <c r="A826" s="1"/>
    </row>
    <row r="827" ht="14.25" customHeight="1">
      <c r="A827" s="1"/>
    </row>
    <row r="828" ht="14.25" customHeight="1">
      <c r="A828" s="1"/>
    </row>
    <row r="829" ht="14.25" customHeight="1">
      <c r="A829" s="1"/>
    </row>
    <row r="830" ht="14.25" customHeight="1">
      <c r="A830" s="1"/>
    </row>
    <row r="831" ht="14.25" customHeight="1">
      <c r="A831" s="1"/>
    </row>
    <row r="832" ht="14.25" customHeight="1">
      <c r="A832" s="1"/>
    </row>
    <row r="833" ht="14.25" customHeight="1">
      <c r="A833" s="1"/>
    </row>
    <row r="834" ht="14.25" customHeight="1">
      <c r="A834" s="1"/>
    </row>
    <row r="835" ht="14.25" customHeight="1">
      <c r="A835" s="1"/>
    </row>
    <row r="836" ht="14.25" customHeight="1">
      <c r="A836" s="1"/>
    </row>
    <row r="837" ht="14.25" customHeight="1">
      <c r="A837" s="1"/>
    </row>
    <row r="838" ht="14.25" customHeight="1">
      <c r="A838" s="1"/>
    </row>
    <row r="839" ht="14.25" customHeight="1">
      <c r="A839" s="1"/>
    </row>
    <row r="840" ht="14.25" customHeight="1">
      <c r="A840" s="1"/>
    </row>
    <row r="841" ht="14.25" customHeight="1">
      <c r="A841" s="1"/>
    </row>
    <row r="842" ht="14.25" customHeight="1">
      <c r="A842" s="1"/>
    </row>
    <row r="843" ht="14.25" customHeight="1">
      <c r="A843" s="1"/>
    </row>
    <row r="844" ht="14.25" customHeight="1">
      <c r="A844" s="1"/>
    </row>
    <row r="845" ht="14.25" customHeight="1">
      <c r="A845" s="1"/>
    </row>
    <row r="846" ht="14.25" customHeight="1">
      <c r="A846" s="1"/>
    </row>
    <row r="847" ht="14.25" customHeight="1">
      <c r="A847" s="1"/>
    </row>
    <row r="848" ht="14.25" customHeight="1">
      <c r="A848" s="1"/>
    </row>
    <row r="849" ht="14.25" customHeight="1">
      <c r="A849" s="1"/>
    </row>
    <row r="850" ht="14.25" customHeight="1">
      <c r="A850" s="1"/>
    </row>
    <row r="851" ht="14.25" customHeight="1">
      <c r="A851" s="1"/>
    </row>
    <row r="852" ht="14.25" customHeight="1">
      <c r="A852" s="1"/>
    </row>
    <row r="853" ht="14.25" customHeight="1">
      <c r="A853" s="1"/>
    </row>
    <row r="854" ht="14.25" customHeight="1">
      <c r="A854" s="1"/>
    </row>
    <row r="855" ht="14.25" customHeight="1">
      <c r="A855" s="1"/>
    </row>
    <row r="856" ht="14.25" customHeight="1">
      <c r="A856" s="1"/>
    </row>
    <row r="857" ht="14.25" customHeight="1">
      <c r="A857" s="1"/>
    </row>
    <row r="858" ht="14.25" customHeight="1">
      <c r="A858" s="1"/>
    </row>
    <row r="859" ht="14.25" customHeight="1">
      <c r="A859" s="1"/>
    </row>
    <row r="860" ht="14.25" customHeight="1">
      <c r="A860" s="1"/>
    </row>
    <row r="861" ht="14.25" customHeight="1">
      <c r="A861" s="1"/>
    </row>
    <row r="862" ht="14.25" customHeight="1">
      <c r="A862" s="1"/>
    </row>
    <row r="863" ht="14.25" customHeight="1">
      <c r="A863" s="1"/>
    </row>
    <row r="864" ht="14.25" customHeight="1">
      <c r="A864" s="1"/>
    </row>
    <row r="865" ht="14.25" customHeight="1">
      <c r="A865" s="1"/>
    </row>
    <row r="866" ht="14.25" customHeight="1">
      <c r="A866" s="1"/>
    </row>
    <row r="867" ht="14.25" customHeight="1">
      <c r="A867" s="1"/>
    </row>
    <row r="868" ht="14.25" customHeight="1">
      <c r="A868" s="1"/>
    </row>
    <row r="869" ht="14.25" customHeight="1">
      <c r="A869" s="1"/>
    </row>
    <row r="870" ht="14.25" customHeight="1">
      <c r="A870" s="1"/>
    </row>
    <row r="871" ht="14.25" customHeight="1">
      <c r="A871" s="1"/>
    </row>
    <row r="872" ht="14.25" customHeight="1">
      <c r="A872" s="1"/>
    </row>
    <row r="873" ht="14.25" customHeight="1">
      <c r="A873" s="1"/>
    </row>
    <row r="874" ht="14.25" customHeight="1">
      <c r="A874" s="1"/>
    </row>
    <row r="875" ht="14.25" customHeight="1">
      <c r="A875" s="1"/>
    </row>
    <row r="876" ht="14.25" customHeight="1">
      <c r="A876" s="1"/>
    </row>
    <row r="877" ht="14.25" customHeight="1">
      <c r="A877" s="1"/>
    </row>
    <row r="878" ht="14.25" customHeight="1">
      <c r="A878" s="1"/>
    </row>
    <row r="879" ht="14.25" customHeight="1">
      <c r="A879" s="1"/>
    </row>
    <row r="880" ht="14.25" customHeight="1">
      <c r="A880" s="1"/>
    </row>
    <row r="881" ht="14.25" customHeight="1">
      <c r="A881" s="1"/>
    </row>
    <row r="882" ht="14.25" customHeight="1">
      <c r="A882" s="1"/>
    </row>
    <row r="883" ht="14.25" customHeight="1">
      <c r="A883" s="1"/>
    </row>
    <row r="884" ht="14.25" customHeight="1">
      <c r="A884" s="1"/>
    </row>
    <row r="885" ht="14.25" customHeight="1">
      <c r="A885" s="1"/>
    </row>
    <row r="886" ht="14.25" customHeight="1">
      <c r="A886" s="1"/>
    </row>
    <row r="887" ht="14.25" customHeight="1">
      <c r="A887" s="1"/>
    </row>
    <row r="888" ht="14.25" customHeight="1">
      <c r="A888" s="1"/>
    </row>
    <row r="889" ht="14.25" customHeight="1">
      <c r="A889" s="1"/>
    </row>
    <row r="890" ht="14.25" customHeight="1">
      <c r="A890" s="1"/>
    </row>
    <row r="891" ht="14.25" customHeight="1">
      <c r="A891" s="1"/>
    </row>
    <row r="892" ht="14.25" customHeight="1">
      <c r="A892" s="1"/>
    </row>
    <row r="893" ht="14.25" customHeight="1">
      <c r="A893" s="1"/>
    </row>
    <row r="894" ht="14.25" customHeight="1">
      <c r="A894" s="1"/>
    </row>
    <row r="895" ht="14.25" customHeight="1">
      <c r="A895" s="1"/>
    </row>
    <row r="896" ht="14.25" customHeight="1">
      <c r="A896" s="1"/>
    </row>
    <row r="897" ht="14.25" customHeight="1">
      <c r="A897" s="1"/>
    </row>
    <row r="898" ht="14.25" customHeight="1">
      <c r="A898" s="1"/>
    </row>
    <row r="899" ht="14.25" customHeight="1">
      <c r="A899" s="1"/>
    </row>
    <row r="900" ht="14.25" customHeight="1">
      <c r="A900" s="1"/>
    </row>
    <row r="901" ht="14.25" customHeight="1">
      <c r="A901" s="1"/>
    </row>
    <row r="902" ht="14.25" customHeight="1">
      <c r="A902" s="1"/>
    </row>
    <row r="903" ht="14.25" customHeight="1">
      <c r="A903" s="1"/>
    </row>
    <row r="904" ht="14.25" customHeight="1">
      <c r="A904" s="1"/>
    </row>
    <row r="905" ht="14.25" customHeight="1">
      <c r="A905" s="1"/>
    </row>
    <row r="906" ht="14.25" customHeight="1">
      <c r="A906" s="1"/>
    </row>
    <row r="907" ht="14.25" customHeight="1">
      <c r="A907" s="1"/>
    </row>
    <row r="908" ht="14.25" customHeight="1">
      <c r="A908" s="1"/>
    </row>
    <row r="909" ht="14.25" customHeight="1">
      <c r="A909" s="1"/>
    </row>
    <row r="910" ht="14.25" customHeight="1">
      <c r="A910" s="1"/>
    </row>
    <row r="911" ht="14.25" customHeight="1">
      <c r="A911" s="1"/>
    </row>
    <row r="912" ht="14.25" customHeight="1">
      <c r="A912" s="1"/>
    </row>
    <row r="913" ht="14.25" customHeight="1">
      <c r="A913" s="1"/>
    </row>
    <row r="914" ht="14.25" customHeight="1">
      <c r="A914" s="1"/>
    </row>
    <row r="915" ht="14.25" customHeight="1">
      <c r="A915" s="1"/>
    </row>
    <row r="916" ht="14.25" customHeight="1">
      <c r="A916" s="1"/>
    </row>
    <row r="917" ht="14.25" customHeight="1">
      <c r="A917" s="1"/>
    </row>
    <row r="918" ht="14.25" customHeight="1">
      <c r="A918" s="1"/>
    </row>
    <row r="919" ht="14.25" customHeight="1">
      <c r="A919" s="1"/>
    </row>
    <row r="920" ht="14.25" customHeight="1">
      <c r="A920" s="1"/>
    </row>
    <row r="921" ht="14.25" customHeight="1">
      <c r="A921" s="1"/>
    </row>
    <row r="922" ht="14.25" customHeight="1">
      <c r="A922" s="1"/>
    </row>
    <row r="923" ht="14.25" customHeight="1">
      <c r="A923" s="1"/>
    </row>
    <row r="924" ht="14.25" customHeight="1">
      <c r="A924" s="1"/>
    </row>
    <row r="925" ht="14.25" customHeight="1">
      <c r="A925" s="1"/>
    </row>
    <row r="926" ht="14.25" customHeight="1">
      <c r="A926" s="1"/>
    </row>
    <row r="927" ht="14.25" customHeight="1">
      <c r="A927" s="1"/>
    </row>
    <row r="928" ht="14.25" customHeight="1">
      <c r="A928" s="1"/>
    </row>
    <row r="929" ht="14.25" customHeight="1">
      <c r="A929" s="1"/>
    </row>
    <row r="930" ht="14.25" customHeight="1">
      <c r="A930" s="1"/>
    </row>
    <row r="931" ht="14.25" customHeight="1">
      <c r="A931" s="1"/>
    </row>
    <row r="932" ht="14.25" customHeight="1">
      <c r="A932" s="1"/>
    </row>
    <row r="933" ht="14.25" customHeight="1">
      <c r="A933" s="1"/>
    </row>
    <row r="934" ht="14.25" customHeight="1">
      <c r="A934" s="1"/>
    </row>
    <row r="935" ht="14.25" customHeight="1">
      <c r="A935" s="1"/>
    </row>
    <row r="936" ht="14.25" customHeight="1">
      <c r="A936" s="1"/>
    </row>
    <row r="937" ht="14.25" customHeight="1">
      <c r="A937" s="1"/>
    </row>
    <row r="938" ht="14.25" customHeight="1">
      <c r="A938" s="1"/>
    </row>
    <row r="939" ht="14.25" customHeight="1">
      <c r="A939" s="1"/>
    </row>
    <row r="940" ht="14.25" customHeight="1">
      <c r="A940" s="1"/>
    </row>
    <row r="941" ht="14.25" customHeight="1">
      <c r="A941" s="1"/>
    </row>
    <row r="942" ht="14.25" customHeight="1">
      <c r="A942" s="1"/>
    </row>
    <row r="943" ht="14.25" customHeight="1">
      <c r="A943" s="1"/>
    </row>
    <row r="944" ht="14.25" customHeight="1">
      <c r="A944" s="1"/>
    </row>
    <row r="945" ht="14.25" customHeight="1">
      <c r="A945" s="1"/>
    </row>
    <row r="946" ht="14.25" customHeight="1">
      <c r="A946" s="1"/>
    </row>
    <row r="947" ht="14.25" customHeight="1">
      <c r="A947" s="1"/>
    </row>
    <row r="948" ht="14.25" customHeight="1">
      <c r="A948" s="1"/>
    </row>
    <row r="949" ht="14.25" customHeight="1">
      <c r="A949" s="1"/>
    </row>
    <row r="950" ht="14.25" customHeight="1">
      <c r="A950" s="1"/>
    </row>
    <row r="951" ht="14.25" customHeight="1">
      <c r="A951" s="1"/>
    </row>
    <row r="952" ht="14.25" customHeight="1">
      <c r="A952" s="1"/>
    </row>
    <row r="953" ht="14.25" customHeight="1">
      <c r="A953" s="1"/>
    </row>
    <row r="954" ht="14.25" customHeight="1">
      <c r="A954" s="1"/>
    </row>
    <row r="955" ht="14.25" customHeight="1">
      <c r="A955" s="1"/>
    </row>
    <row r="956" ht="14.25" customHeight="1">
      <c r="A956" s="1"/>
    </row>
    <row r="957" ht="14.25" customHeight="1">
      <c r="A957" s="1"/>
    </row>
    <row r="958" ht="14.25" customHeight="1">
      <c r="A958" s="1"/>
    </row>
    <row r="959" ht="14.25" customHeight="1">
      <c r="A959" s="1"/>
    </row>
    <row r="960" ht="14.25" customHeight="1">
      <c r="A960" s="1"/>
    </row>
    <row r="961" ht="14.25" customHeight="1">
      <c r="A961" s="1"/>
    </row>
    <row r="962" ht="14.25" customHeight="1">
      <c r="A962" s="1"/>
    </row>
    <row r="963" ht="14.25" customHeight="1">
      <c r="A963" s="1"/>
    </row>
    <row r="964" ht="14.25" customHeight="1">
      <c r="A964" s="1"/>
    </row>
    <row r="965" ht="14.25" customHeight="1">
      <c r="A965" s="1"/>
    </row>
    <row r="966" ht="14.25" customHeight="1">
      <c r="A966" s="1"/>
    </row>
    <row r="967" ht="14.25" customHeight="1">
      <c r="A967" s="1"/>
    </row>
    <row r="968" ht="14.25" customHeight="1">
      <c r="A968" s="1"/>
    </row>
    <row r="969" ht="14.25" customHeight="1">
      <c r="A969" s="1"/>
    </row>
    <row r="970" ht="14.25" customHeight="1">
      <c r="A970" s="1"/>
    </row>
    <row r="971" ht="14.25" customHeight="1">
      <c r="A971" s="1"/>
    </row>
    <row r="972" ht="14.25" customHeight="1">
      <c r="A972" s="1"/>
    </row>
    <row r="973" ht="14.25" customHeight="1">
      <c r="A973" s="1"/>
    </row>
    <row r="974" ht="14.25" customHeight="1">
      <c r="A974" s="1"/>
    </row>
    <row r="975" ht="14.25" customHeight="1">
      <c r="A975" s="1"/>
    </row>
    <row r="976" ht="14.25" customHeight="1">
      <c r="A976" s="1"/>
    </row>
    <row r="977" ht="14.25" customHeight="1">
      <c r="A977" s="1"/>
    </row>
    <row r="978" ht="14.25" customHeight="1">
      <c r="A978" s="1"/>
    </row>
    <row r="979" ht="14.25" customHeight="1">
      <c r="A979" s="1"/>
    </row>
    <row r="980" ht="14.25" customHeight="1">
      <c r="A980" s="1"/>
    </row>
    <row r="981" ht="14.25" customHeight="1">
      <c r="A981" s="1"/>
    </row>
    <row r="982" ht="14.25" customHeight="1">
      <c r="A982" s="1"/>
    </row>
    <row r="983" ht="14.25" customHeight="1">
      <c r="A983" s="1"/>
    </row>
    <row r="984" ht="14.25" customHeight="1">
      <c r="A984" s="1"/>
    </row>
    <row r="985" ht="14.25" customHeight="1">
      <c r="A985" s="1"/>
    </row>
    <row r="986" ht="14.25" customHeight="1">
      <c r="A986" s="1"/>
    </row>
    <row r="987" ht="14.25" customHeight="1">
      <c r="A987" s="1"/>
    </row>
    <row r="988" ht="14.25" customHeight="1">
      <c r="A988" s="1"/>
    </row>
    <row r="989" ht="14.25" customHeight="1">
      <c r="A989" s="1"/>
    </row>
    <row r="990" ht="14.25" customHeight="1">
      <c r="A990" s="1"/>
    </row>
    <row r="991" ht="14.25" customHeight="1">
      <c r="A991" s="1"/>
    </row>
    <row r="992" ht="14.25" customHeight="1">
      <c r="A992" s="1"/>
    </row>
    <row r="993" ht="14.25" customHeight="1">
      <c r="A993" s="1"/>
    </row>
    <row r="994" ht="14.25" customHeight="1">
      <c r="A994" s="1"/>
    </row>
    <row r="995" ht="14.25" customHeight="1">
      <c r="A995" s="1"/>
    </row>
    <row r="996" ht="14.25" customHeight="1">
      <c r="A996" s="1"/>
    </row>
    <row r="997" ht="14.25" customHeight="1">
      <c r="A997" s="1"/>
    </row>
    <row r="998" ht="14.25" customHeight="1">
      <c r="A998" s="1"/>
    </row>
    <row r="999" ht="14.25" customHeight="1">
      <c r="A999" s="1"/>
    </row>
    <row r="1000" ht="14.25" customHeight="1">
      <c r="A1000" s="1"/>
    </row>
  </sheetData>
  <mergeCells count="70">
    <mergeCell ref="S21:U21"/>
    <mergeCell ref="V21:Y21"/>
    <mergeCell ref="S55:Y55"/>
    <mergeCell ref="S56:U56"/>
    <mergeCell ref="V56:Y56"/>
    <mergeCell ref="S77:Y77"/>
    <mergeCell ref="S78:U78"/>
    <mergeCell ref="V78:Y78"/>
    <mergeCell ref="S101:Y101"/>
    <mergeCell ref="S102:U102"/>
    <mergeCell ref="V102:Y102"/>
    <mergeCell ref="S124:Y124"/>
    <mergeCell ref="S125:U125"/>
    <mergeCell ref="V125:Y125"/>
    <mergeCell ref="B20:H22"/>
    <mergeCell ref="J20:R20"/>
    <mergeCell ref="S20:Y20"/>
    <mergeCell ref="I21:I22"/>
    <mergeCell ref="J21:J22"/>
    <mergeCell ref="K21:N21"/>
    <mergeCell ref="O21:R21"/>
    <mergeCell ref="B23:H23"/>
    <mergeCell ref="B55:H57"/>
    <mergeCell ref="I55:I57"/>
    <mergeCell ref="J55:R55"/>
    <mergeCell ref="J56:J57"/>
    <mergeCell ref="K56:N56"/>
    <mergeCell ref="O56:R56"/>
    <mergeCell ref="B58:H58"/>
    <mergeCell ref="B77:H79"/>
    <mergeCell ref="I77:I79"/>
    <mergeCell ref="J77:R77"/>
    <mergeCell ref="J78:J79"/>
    <mergeCell ref="K78:N78"/>
    <mergeCell ref="O78:R78"/>
    <mergeCell ref="B80:H80"/>
    <mergeCell ref="B101:H103"/>
    <mergeCell ref="I101:I103"/>
    <mergeCell ref="J101:R101"/>
    <mergeCell ref="J102:J103"/>
    <mergeCell ref="K102:N102"/>
    <mergeCell ref="O102:R102"/>
    <mergeCell ref="B104:H104"/>
    <mergeCell ref="B124:H126"/>
    <mergeCell ref="I124:I126"/>
    <mergeCell ref="J124:R124"/>
    <mergeCell ref="J125:J126"/>
    <mergeCell ref="K125:N125"/>
    <mergeCell ref="O125:R125"/>
    <mergeCell ref="S147:Y147"/>
    <mergeCell ref="S148:U148"/>
    <mergeCell ref="V148:Y148"/>
    <mergeCell ref="S170:Y170"/>
    <mergeCell ref="S171:U171"/>
    <mergeCell ref="V171:Y171"/>
    <mergeCell ref="B150:H150"/>
    <mergeCell ref="B170:H172"/>
    <mergeCell ref="I170:I172"/>
    <mergeCell ref="J170:R170"/>
    <mergeCell ref="J171:J172"/>
    <mergeCell ref="K171:N171"/>
    <mergeCell ref="O171:R171"/>
    <mergeCell ref="B173:H173"/>
    <mergeCell ref="B127:H127"/>
    <mergeCell ref="B147:H149"/>
    <mergeCell ref="I147:I149"/>
    <mergeCell ref="J147:R147"/>
    <mergeCell ref="J148:J149"/>
    <mergeCell ref="K148:N148"/>
    <mergeCell ref="O148:R148"/>
  </mergeCells>
  <conditionalFormatting sqref="S60:U65 Y60:Y65">
    <cfRule type="cellIs" dxfId="0" priority="1" operator="lessThan">
      <formula>80</formula>
    </cfRule>
  </conditionalFormatting>
  <conditionalFormatting sqref="S60:U65 Y60:Y65">
    <cfRule type="cellIs" dxfId="1" priority="2" operator="between">
      <formula>80</formula>
      <formula>99.999</formula>
    </cfRule>
  </conditionalFormatting>
  <conditionalFormatting sqref="S60:U65 Y60:Y65">
    <cfRule type="cellIs" dxfId="2" priority="3" operator="greaterThanOrEqual">
      <formula>100</formula>
    </cfRule>
  </conditionalFormatting>
  <conditionalFormatting sqref="S82:U91 Y82:Y91">
    <cfRule type="cellIs" dxfId="0" priority="4" operator="lessThan">
      <formula>80</formula>
    </cfRule>
  </conditionalFormatting>
  <conditionalFormatting sqref="S82:U91 Y82:Y91">
    <cfRule type="cellIs" dxfId="1" priority="5" operator="between">
      <formula>80</formula>
      <formula>99.999</formula>
    </cfRule>
  </conditionalFormatting>
  <conditionalFormatting sqref="S82:U91 Y82:Y91">
    <cfRule type="cellIs" dxfId="2" priority="6" operator="greaterThanOrEqual">
      <formula>100</formula>
    </cfRule>
  </conditionalFormatting>
  <conditionalFormatting sqref="S106:U114 Y106:Y114">
    <cfRule type="cellIs" dxfId="0" priority="7" operator="lessThan">
      <formula>80</formula>
    </cfRule>
  </conditionalFormatting>
  <conditionalFormatting sqref="S106:U114 Y106:Y114">
    <cfRule type="cellIs" dxfId="1" priority="8" operator="between">
      <formula>80</formula>
      <formula>99.999</formula>
    </cfRule>
  </conditionalFormatting>
  <conditionalFormatting sqref="S106:U114 Y106:Y114">
    <cfRule type="cellIs" dxfId="2" priority="9" operator="greaterThanOrEqual">
      <formula>100</formula>
    </cfRule>
  </conditionalFormatting>
  <conditionalFormatting sqref="S118:U118 Y118">
    <cfRule type="cellIs" dxfId="0" priority="10" operator="lessThan">
      <formula>80</formula>
    </cfRule>
  </conditionalFormatting>
  <conditionalFormatting sqref="S118:U118 Y118">
    <cfRule type="cellIs" dxfId="1" priority="11" operator="between">
      <formula>80</formula>
      <formula>99.999</formula>
    </cfRule>
  </conditionalFormatting>
  <conditionalFormatting sqref="S118:U118 Y118">
    <cfRule type="cellIs" dxfId="2" priority="12" operator="greaterThanOrEqual">
      <formula>100</formula>
    </cfRule>
  </conditionalFormatting>
  <conditionalFormatting sqref="S95:U95 Y95">
    <cfRule type="cellIs" dxfId="0" priority="13" operator="lessThan">
      <formula>80</formula>
    </cfRule>
  </conditionalFormatting>
  <conditionalFormatting sqref="S95:U95 Y95">
    <cfRule type="cellIs" dxfId="1" priority="14" operator="between">
      <formula>80</formula>
      <formula>99.999</formula>
    </cfRule>
  </conditionalFormatting>
  <conditionalFormatting sqref="S95:U95 Y95">
    <cfRule type="cellIs" dxfId="2" priority="15" operator="greaterThanOrEqual">
      <formula>100</formula>
    </cfRule>
  </conditionalFormatting>
  <conditionalFormatting sqref="S129:U137 Y129:Y137">
    <cfRule type="cellIs" dxfId="0" priority="16" operator="lessThan">
      <formula>80</formula>
    </cfRule>
  </conditionalFormatting>
  <conditionalFormatting sqref="S129:U137 Y129:Y137">
    <cfRule type="cellIs" dxfId="1" priority="17" operator="between">
      <formula>80</formula>
      <formula>99.999</formula>
    </cfRule>
  </conditionalFormatting>
  <conditionalFormatting sqref="S129:U137 Y129:Y137">
    <cfRule type="cellIs" dxfId="2" priority="18" operator="greaterThanOrEqual">
      <formula>100</formula>
    </cfRule>
  </conditionalFormatting>
  <conditionalFormatting sqref="S141:U141 Y141">
    <cfRule type="cellIs" dxfId="0" priority="19" operator="lessThan">
      <formula>80</formula>
    </cfRule>
  </conditionalFormatting>
  <conditionalFormatting sqref="S141:U141 Y141">
    <cfRule type="cellIs" dxfId="1" priority="20" operator="between">
      <formula>80</formula>
      <formula>99.999</formula>
    </cfRule>
  </conditionalFormatting>
  <conditionalFormatting sqref="S141:U141 Y141">
    <cfRule type="cellIs" dxfId="2" priority="21" operator="greaterThanOrEqual">
      <formula>100</formula>
    </cfRule>
  </conditionalFormatting>
  <conditionalFormatting sqref="S152:U160 Y152:Y160">
    <cfRule type="cellIs" dxfId="0" priority="22" operator="lessThan">
      <formula>80</formula>
    </cfRule>
  </conditionalFormatting>
  <conditionalFormatting sqref="S152:U160 Y152:Y160">
    <cfRule type="cellIs" dxfId="1" priority="23" operator="between">
      <formula>80</formula>
      <formula>99.999</formula>
    </cfRule>
  </conditionalFormatting>
  <conditionalFormatting sqref="S152:U160 Y152:Y160">
    <cfRule type="cellIs" dxfId="2" priority="24" operator="greaterThanOrEqual">
      <formula>100</formula>
    </cfRule>
  </conditionalFormatting>
  <conditionalFormatting sqref="S164:U164 Y164">
    <cfRule type="cellIs" dxfId="0" priority="25" operator="lessThan">
      <formula>80</formula>
    </cfRule>
  </conditionalFormatting>
  <conditionalFormatting sqref="S164:U164 Y164">
    <cfRule type="cellIs" dxfId="1" priority="26" operator="between">
      <formula>80</formula>
      <formula>99.999</formula>
    </cfRule>
  </conditionalFormatting>
  <conditionalFormatting sqref="S164:U164 Y164">
    <cfRule type="cellIs" dxfId="2" priority="27" operator="greaterThanOrEqual">
      <formula>100</formula>
    </cfRule>
  </conditionalFormatting>
  <conditionalFormatting sqref="S175:U176 S178:U179 S181:U186 Y175:Y176 Y178:Y179 Y181:Y186">
    <cfRule type="cellIs" dxfId="0" priority="28" operator="lessThan">
      <formula>80</formula>
    </cfRule>
  </conditionalFormatting>
  <conditionalFormatting sqref="S175:U176 S178:U179 S181:U186 Y175:Y176 Y178:Y179 Y181:Y186">
    <cfRule type="cellIs" dxfId="1" priority="29" operator="between">
      <formula>80</formula>
      <formula>99.999</formula>
    </cfRule>
  </conditionalFormatting>
  <conditionalFormatting sqref="S175:U176 S178:U179 S181:U186 Y175:Y176 Y178:Y179 Y181:Y186">
    <cfRule type="cellIs" dxfId="2" priority="30" operator="greaterThanOrEqual">
      <formula>100</formula>
    </cfRule>
  </conditionalFormatting>
  <conditionalFormatting sqref="S177:U177 Y177">
    <cfRule type="cellIs" dxfId="0" priority="31" operator="lessThan">
      <formula>80</formula>
    </cfRule>
  </conditionalFormatting>
  <conditionalFormatting sqref="S177:U177 Y177">
    <cfRule type="cellIs" dxfId="1" priority="32" operator="between">
      <formula>80</formula>
      <formula>99.999</formula>
    </cfRule>
  </conditionalFormatting>
  <conditionalFormatting sqref="S177:U177 Y177">
    <cfRule type="cellIs" dxfId="2" priority="33" operator="greaterThanOrEqual">
      <formula>100</formula>
    </cfRule>
  </conditionalFormatting>
  <conditionalFormatting sqref="S28:U29 Y28:Y29">
    <cfRule type="cellIs" dxfId="0" priority="34" operator="lessThan">
      <formula>80</formula>
    </cfRule>
  </conditionalFormatting>
  <conditionalFormatting sqref="S28:U29 Y28:Y29">
    <cfRule type="cellIs" dxfId="1" priority="35" operator="between">
      <formula>80</formula>
      <formula>99.999</formula>
    </cfRule>
  </conditionalFormatting>
  <conditionalFormatting sqref="S28:U29 Y28:Y29">
    <cfRule type="cellIs" dxfId="2" priority="36" operator="greaterThanOrEqual">
      <formula>100</formula>
    </cfRule>
  </conditionalFormatting>
  <conditionalFormatting sqref="S35:U35 Y35">
    <cfRule type="cellIs" dxfId="0" priority="37" operator="lessThan">
      <formula>80</formula>
    </cfRule>
  </conditionalFormatting>
  <conditionalFormatting sqref="S35:U35 Y35">
    <cfRule type="cellIs" dxfId="1" priority="38" operator="between">
      <formula>80</formula>
      <formula>99.999</formula>
    </cfRule>
  </conditionalFormatting>
  <conditionalFormatting sqref="S35:U35 Y35">
    <cfRule type="cellIs" dxfId="2" priority="39" operator="greaterThanOrEqual">
      <formula>100</formula>
    </cfRule>
  </conditionalFormatting>
  <conditionalFormatting sqref="S36:U36 Y36">
    <cfRule type="cellIs" dxfId="0" priority="40" operator="lessThan">
      <formula>80</formula>
    </cfRule>
  </conditionalFormatting>
  <conditionalFormatting sqref="S36:U36 Y36">
    <cfRule type="cellIs" dxfId="1" priority="41" operator="between">
      <formula>80</formula>
      <formula>99.999</formula>
    </cfRule>
  </conditionalFormatting>
  <conditionalFormatting sqref="S36:U36 Y36">
    <cfRule type="cellIs" dxfId="2" priority="42" operator="greaterThanOrEqual">
      <formula>100</formula>
    </cfRule>
  </conditionalFormatting>
  <conditionalFormatting sqref="S42:U42 Y42">
    <cfRule type="cellIs" dxfId="0" priority="43" operator="lessThan">
      <formula>80</formula>
    </cfRule>
  </conditionalFormatting>
  <conditionalFormatting sqref="S42:U42 Y42">
    <cfRule type="cellIs" dxfId="1" priority="44" operator="between">
      <formula>80</formula>
      <formula>99.999</formula>
    </cfRule>
  </conditionalFormatting>
  <conditionalFormatting sqref="S42:U42 Y42">
    <cfRule type="cellIs" dxfId="2" priority="45" operator="greaterThanOrEqual">
      <formula>100</formula>
    </cfRule>
  </conditionalFormatting>
  <conditionalFormatting sqref="S48:U49 Y48:Y49">
    <cfRule type="cellIs" dxfId="0" priority="46" operator="lessThan">
      <formula>80</formula>
    </cfRule>
  </conditionalFormatting>
  <conditionalFormatting sqref="S48:U49 Y48:Y49">
    <cfRule type="cellIs" dxfId="1" priority="47" operator="between">
      <formula>80</formula>
      <formula>99.999</formula>
    </cfRule>
  </conditionalFormatting>
  <conditionalFormatting sqref="S48:U49 Y48:Y49">
    <cfRule type="cellIs" dxfId="2" priority="48" operator="greaterThanOrEqual">
      <formula>100</formula>
    </cfRule>
  </conditionalFormatting>
  <conditionalFormatting sqref="S180:U180 Y180">
    <cfRule type="cellIs" dxfId="0" priority="49" operator="lessThan">
      <formula>80</formula>
    </cfRule>
  </conditionalFormatting>
  <conditionalFormatting sqref="S180:U180 Y180">
    <cfRule type="cellIs" dxfId="1" priority="50" operator="between">
      <formula>80</formula>
      <formula>99.999</formula>
    </cfRule>
  </conditionalFormatting>
  <conditionalFormatting sqref="S180:U180 Y180">
    <cfRule type="cellIs" dxfId="2" priority="51" operator="greaterThanOrEqual">
      <formula>100</formula>
    </cfRule>
  </conditionalFormatting>
  <dataValidations>
    <dataValidation type="decimal" operator="greaterThanOrEqual" allowBlank="1" showInputMessage="1" showErrorMessage="1" prompt="Mohon Perbaiki Isian - Tidak boleh lebih kecil dari Triwulan sebelumnya" sqref="L28:N28 P28:R28 L36:M36 P36:R36 L42:N42 P42:R42 L48:M49 P48:R49 N60:N64 M72:N72 P187:R187">
      <formula1>K28</formula1>
    </dataValidation>
  </dataValidations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2017-12-29T00:55:30Z</dcterms:created>
  <dc:creator>BPS-Client</dc:creator>
</cp:coreProperties>
</file>